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495" activeTab="0"/>
  </bookViews>
  <sheets>
    <sheet name="Приложение 4 июнь 2021" sheetId="1" r:id="rId1"/>
  </sheets>
  <definedNames>
    <definedName name="_xlnm._FilterDatabase" localSheetId="0" hidden="1">'Приложение 4 июнь 2021'!$A$7:$X$577</definedName>
    <definedName name="Z_02E18E82_FCD4_470A_A303_CE97954A44A1_.wvu.FilterData" localSheetId="0" hidden="1">'Приложение 4 июнь 2021'!$A$7:$AQ$7</definedName>
    <definedName name="Z_0F35487D_C2A3_472E_A7BB_504D7AF9E743_.wvu.FilterData" localSheetId="0" hidden="1">'Приложение 4 июнь 2021'!$A$7:$AQ$7</definedName>
    <definedName name="Z_0F35487D_C2A3_472E_A7BB_504D7AF9E743_.wvu.PrintArea" localSheetId="0" hidden="1">'Приложение 4 июнь 2021'!$L$64</definedName>
    <definedName name="Z_1C3B5D4E_9CBC_4DC2_99F5_6CA6BB13F750_.wvu.FilterData" localSheetId="0" hidden="1">'Приложение 4 июнь 2021'!$A$7:$AQ$7</definedName>
    <definedName name="Z_1C3B5D4E_9CBC_4DC2_99F5_6CA6BB13F750_.wvu.PrintArea" localSheetId="0" hidden="1">'Приложение 4 июнь 2021'!$L$64</definedName>
    <definedName name="Z_1E7EE646_3A9F_439B_B15A_26DE47CC1A0F_.wvu.FilterData" localSheetId="0" hidden="1">'Приложение 4 июнь 2021'!$A$7:$AQ$7</definedName>
    <definedName name="Z_20EFA02D_AF47_45A0_B1D8_A8A7B5D62B16_.wvu.FilterData" localSheetId="0" hidden="1">'Приложение 4 июнь 2021'!$A$7:$AQ$7</definedName>
    <definedName name="Z_20EFA02D_AF47_45A0_B1D8_A8A7B5D62B16_.wvu.PrintArea" localSheetId="0" hidden="1">'Приложение 4 июнь 2021'!$L$64</definedName>
    <definedName name="Z_3D1AB7C9_470F_4B87_845C_7F9280365637_.wvu.FilterData" localSheetId="0" hidden="1">'Приложение 4 июнь 2021'!$A$7:$AQ$7</definedName>
    <definedName name="Z_46B960B4_AC0E_425E_8C85_3F0E28D7E163_.wvu.Cols" localSheetId="0" hidden="1">'Приложение 4 июнь 2021'!#REF!,'Приложение 4 июнь 2021'!#REF!</definedName>
    <definedName name="Z_46B960B4_AC0E_425E_8C85_3F0E28D7E163_.wvu.FilterData" localSheetId="0" hidden="1">'Приложение 4 июнь 2021'!$A$7:$AQ$7</definedName>
    <definedName name="Z_4E2077D0_B015_4191_BE0E_FCBAE43CF836_.wvu.FilterData" localSheetId="0" hidden="1">'Приложение 4 июнь 2021'!$A$7:$AQ$7</definedName>
    <definedName name="Z_8B365B34_612E_4FF9_95C5_E737E175F653_.wvu.FilterData" localSheetId="0" hidden="1">'Приложение 4 июнь 2021'!$A$7:$AQ$7</definedName>
    <definedName name="Z_8B365B34_612E_4FF9_95C5_E737E175F653_.wvu.PrintArea" localSheetId="0" hidden="1">'Приложение 4 июнь 2021'!$L$64</definedName>
    <definedName name="Z_A327190F_BF3D_4065_9A09_96A02DA82CA9_.wvu.FilterData" localSheetId="0" hidden="1">'Приложение 4 июнь 2021'!$A$7:$AQ$7</definedName>
    <definedName name="Z_B179F238_C88A_4619_9864_32BBFC39B41A_.wvu.FilterData" localSheetId="0" hidden="1">'Приложение 4 июнь 2021'!$A$7:$AQ$7</definedName>
    <definedName name="Z_E6AFCAEF_FE79_42D8_AF92_7B3F1F1523F7_.wvu.FilterData" localSheetId="0" hidden="1">'Приложение 4 июнь 2021'!$A$7:$AQ$7</definedName>
    <definedName name="Z_E6AFCAEF_FE79_42D8_AF92_7B3F1F1523F7_.wvu.PrintArea" localSheetId="0" hidden="1">'Приложение 4 июнь 2021'!$L$64</definedName>
    <definedName name="Z_E6AFCAEF_FE79_42D8_AF92_7B3F1F1523F7_.wvu.Rows" localSheetId="0" hidden="1">'Приложение 4 июнь 2021'!#REF!</definedName>
    <definedName name="Z_E88BCD66_9726_4C2B_96A8_C90A7D306BC6_.wvu.FilterData" localSheetId="0" hidden="1">'Приложение 4 июнь 2021'!$A$7:$AQ$7</definedName>
    <definedName name="Z_F200DE87_E8EF_4B86_A198_7912AE147780_.wvu.FilterData" localSheetId="0" hidden="1">'Приложение 4 июнь 2021'!$A$7:$AQ$7</definedName>
    <definedName name="Z_FCD3E659_D2AC_4526_B7EF_C33AC90F2681_.wvu.FilterData" localSheetId="0" hidden="1">'Приложение 4 июнь 2021'!$A$7:$AQ$7</definedName>
  </definedNames>
  <calcPr fullCalcOnLoad="1" fullPrecision="0"/>
</workbook>
</file>

<file path=xl/sharedStrings.xml><?xml version="1.0" encoding="utf-8"?>
<sst xmlns="http://schemas.openxmlformats.org/spreadsheetml/2006/main" count="2099" uniqueCount="463">
  <si>
    <r>
      <t xml:space="preserve">Приложение 4                                                                    к муниципальной программе                              «Развитие образования Северодвинска», утвержденной постановлением                                  Администрации Северодвинска                                 от 09.03.2016 № 58-па                                                       (в редакции от   </t>
    </r>
    <r>
      <rPr>
        <u val="single"/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Times New Roman"/>
        <family val="1"/>
      </rPr>
      <t xml:space="preserve">   № </t>
    </r>
    <r>
      <rPr>
        <u val="single"/>
        <sz val="12"/>
        <color indexed="8"/>
        <rFont val="Times New Roman"/>
        <family val="1"/>
      </rPr>
      <t xml:space="preserve">               </t>
    </r>
    <r>
      <rPr>
        <sz val="12"/>
        <color indexed="8"/>
        <rFont val="Times New Roman"/>
        <family val="1"/>
      </rPr>
      <t xml:space="preserve"> )</t>
    </r>
  </si>
  <si>
    <t>Характеристика муниципальной программы «Развитие образования Северодвинска»</t>
  </si>
  <si>
    <t>Ответственный исполнитель - Управление образования Администрации Северодвинска.</t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</si>
  <si>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</si>
  <si>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</si>
  <si>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</si>
  <si>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</si>
  <si>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муниципальной программы</t>
  </si>
  <si>
    <t>2021                  АПРЕЛЬ</t>
  </si>
  <si>
    <t>2022              АПРЕЛЬ</t>
  </si>
  <si>
    <t>2023           АПРЕЛЬ</t>
  </si>
  <si>
    <t>2024               АПРЕЛЬ</t>
  </si>
  <si>
    <t xml:space="preserve">Значение 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</si>
  <si>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</si>
  <si>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</si>
  <si>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</si>
  <si>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</si>
  <si>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</si>
  <si>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</si>
  <si>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>Е</t>
  </si>
  <si>
    <t>Муниципальная программа «Развитие образования Северодвинска»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</si>
  <si>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</si>
  <si>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</si>
  <si>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</si>
  <si>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</si>
  <si>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</si>
  <si>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/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</si>
  <si>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</si>
  <si>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</si>
  <si>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</si>
  <si>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</si>
  <si>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</si>
  <si>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</si>
  <si>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</si>
  <si>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</si>
  <si>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Показатель 8. Удовлетворенность родителей качеством общего и дополнительного образования детей в муниципальных образовательных организациях</t>
  </si>
  <si>
    <t>Показатель 9. Доля детей в возрасте от 5 до 18 лет, использующих сертификаты дополнительного образования</t>
  </si>
  <si>
    <t>Подпрограмма «Развитие дошкольного, общего и дополнительного образования детей»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</si>
  <si>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</si>
  <si>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</si>
  <si>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</si>
  <si>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</si>
  <si>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</si>
  <si>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</si>
  <si>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</si>
  <si>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</si>
  <si>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образования, осуществление присмотра и ухода</t>
    </r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</si>
  <si>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</si>
  <si>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</si>
  <si>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«Образование»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</si>
  <si>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</si>
  <si>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</si>
  <si>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«Образование»</t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</si>
  <si>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</t>
  </si>
  <si>
    <t>рублей</t>
  </si>
  <si>
    <t>Показатель 7. Средняя численность работников образовательных организаций, реализующих дошкольное образование, которым предоставлена  доплата  до минимального размера, установленного законодательством</t>
  </si>
  <si>
    <t>Показатель 8. Количество мест в частных учреждениях дошкольного образования</t>
  </si>
  <si>
    <t>единиц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</si>
  <si>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</si>
  <si>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</si>
  <si>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</si>
  <si>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r>
      <t xml:space="preserve">Мероприятие 1.04. </t>
    </r>
    <r>
      <rPr>
        <sz val="10"/>
        <color indexed="8"/>
        <rFont val="Times New Roman"/>
        <family val="1"/>
      </rPr>
      <t>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</si>
  <si>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</si>
  <si>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r>
      <t>Мероприятие 1.05.</t>
    </r>
    <r>
      <rPr>
        <sz val="10"/>
        <color indexed="8"/>
        <rFont val="Times New Roman"/>
        <family val="1"/>
      </rPr>
      <t xml:space="preserve">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</si>
  <si>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</si>
  <si>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r>
      <t>Мероприятие 1.06.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  </r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</si>
  <si>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</si>
  <si>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 xml:space="preserve">единиц </t>
  </si>
  <si>
    <t>Показатель 2. Количество структурных подразделений общеобразовательных организаций, оснащённых компьютерной техникой, медицинским оборудованием, мебелью, мягким инвентарем, материалами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</si>
  <si>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</si>
  <si>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</si>
  <si>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</si>
  <si>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</si>
  <si>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Показатель 2. Количество расходных материалов, оборудования для образовательного процесса,  приобретенного на оказание психолого-педагогического сопровождения родителей, чьи дети не посещают дошкольное учреждение</t>
  </si>
  <si>
    <t>Показатель 1. Количество решений суда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</si>
  <si>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</si>
  <si>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</si>
  <si>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</si>
  <si>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</si>
  <si>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Административное мероприятие 2.01. Формирование и утверждение муниципальных заданий муниципальным общеобразовательным организациям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</si>
  <si>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</si>
  <si>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</si>
  <si>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</si>
  <si>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2. Средняя наполняемость классов (без учета классов для детей с ограниченными возможностями здоровья) ежегодно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</si>
  <si>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«Образование»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</si>
  <si>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</si>
  <si>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</t>
  </si>
  <si>
    <t xml:space="preserve">рублей </t>
  </si>
  <si>
    <t>Показатель 6. Средняя численность работников общеобразовательных организаций, которым предоставлена  доплата  до минимального размера, установленного законодательством</t>
  </si>
  <si>
    <t>Показатель 7. Количество классов с углубленным изучением предметов</t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</si>
  <si>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 обучающихся в общеобразовательных организациях</t>
    </r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</si>
  <si>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</si>
  <si>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</t>
  </si>
  <si>
    <t>Показатель 3. Численность обучающихся, обеспеченных бесплатным питанием</t>
  </si>
  <si>
    <t>Показатель 4. Число ученико-дней, осваивающих образовательные программы начального общего образования</t>
  </si>
  <si>
    <t>чел./дн</t>
  </si>
  <si>
    <t>2
3</t>
  </si>
  <si>
    <r>
      <t>Мероприятие 2.04.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 материально-технической базы муниципальных общеобразовательных организаций</t>
    </r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</si>
  <si>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</si>
  <si>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</si>
  <si>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</t>
  </si>
  <si>
    <t>Показатель 4. Количество специальных транспортных средств осуществляющих перезвозку  детей</t>
  </si>
  <si>
    <r>
      <t xml:space="preserve">Мероприятие 2.05. </t>
    </r>
    <r>
      <rPr>
        <sz val="10"/>
        <color indexed="12"/>
        <rFont val="Times New Roman"/>
        <family val="1"/>
      </rPr>
      <t>Ежемесячное денежное вознаграждение за классное руководство педагогическим работникам</t>
    </r>
  </si>
  <si>
    <t>Показатель 1. Среднегодовое количество классов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</si>
  <si>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</si>
  <si>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</si>
  <si>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</si>
  <si>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</si>
  <si>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>Показатель 4. Доля детей, охваченных системой персонифицированного финансирования дополнительного образования детей</t>
  </si>
  <si>
    <t xml:space="preserve">Административное мероприятие 3.01.                   Формирование и утверждение муниципальных заданий муниципальным образовательным организациям дополнительного образования 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</si>
  <si>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</si>
  <si>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Административное мероприятие 3.02. Обеспечение работы в государственной информационной системе «Навигатор дополнительного образования в Архангельской области»</t>
  </si>
  <si>
    <t>нет</t>
  </si>
  <si>
    <t>Показатель1. Доля муниципальных организаций дополнительного образования, осуществляющих обучение и реализующие дополнительные общеобразовательные программы, включенные в сиистему персоницицированного финансирования»</t>
  </si>
  <si>
    <r>
      <t xml:space="preserve">Мероприятие 3.03.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</si>
  <si>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</si>
  <si>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чел./час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</si>
  <si>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«Образование»</t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</si>
  <si>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</si>
  <si>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</si>
  <si>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Показатель 4.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</si>
  <si>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Показатель 5. Численность обучающихся, прошедших спортивную подготовку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</si>
  <si>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</si>
  <si>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</si>
  <si>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r>
      <t xml:space="preserve">Мероприятие 3.05. </t>
    </r>
    <r>
      <rPr>
        <sz val="10"/>
        <color indexed="8"/>
        <rFont val="Times New Roman"/>
        <family val="1"/>
      </rPr>
      <t>Реализация дополнительных общеобразовательных программ естественно-научной и технической направленности</t>
    </r>
  </si>
  <si>
    <t xml:space="preserve">Показатель 1. Доля обучающихся по дополнительным общеразвивающим программам, ориентированным на применение высокотехнологичного оборудования и современных технологий </t>
  </si>
  <si>
    <t>Показатель 2.Количество лабораторий технического творчества и естественных наук, оснащенных современным оборудованием</t>
  </si>
  <si>
    <t>Показатель 3. Число детей, охваченных деятельностью детского технопарка "Кванториум" (мобильного технопарка "Кванториум") и других проектов, направленных на обеспечение доступности дополнительных образовательных программ естественнонаучной и технической направленности</t>
  </si>
  <si>
    <t>человек, не менее</t>
  </si>
  <si>
    <t xml:space="preserve">Показатель 4. Количество дополнительных общеобразовательных программ (модулей программ) естественно-научной и технической направленности </t>
  </si>
  <si>
    <r>
      <t xml:space="preserve">Мероприятие 3.06. </t>
    </r>
    <r>
      <rPr>
        <sz val="10"/>
        <color indexed="8"/>
        <rFont val="Times New Roman"/>
        <family val="1"/>
      </rPr>
      <t>Обеспечение функционирования системы персонифицированного финансирования дополнительного образования детей</t>
    </r>
  </si>
  <si>
    <t>Показатель 1. Доля  детей от 5 до 18 лет, охваченных дополнительными общеразвивающим программам технической и естественно-научной направленности</t>
  </si>
  <si>
    <t xml:space="preserve">%, не менее </t>
  </si>
  <si>
    <t>Показатель 2.Создание и функционирование муниципальных (опорных) центров дополнительного образования детей</t>
  </si>
  <si>
    <t>Показатель 3. Внедрение системы персонифицированного финансирования дополнительного образования детей</t>
  </si>
  <si>
    <t>Показатель 4. Количество использованных сертификатов персонифицированного финансирования</t>
  </si>
  <si>
    <t>Показатель 5. Количество частных организаций, 
в системе дополнительного образования</t>
  </si>
  <si>
    <t>Задача: Организация воспитания и социализации обучающихся</t>
  </si>
  <si>
    <t>Областной  бюджет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</si>
  <si>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«Образование»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</si>
  <si>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</si>
  <si>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3. Доля обучающихся, вовлеченных  во внеурочное время в трудовую, общественно-полезную деятельность, в общей численности обучающихся</t>
  </si>
  <si>
    <t xml:space="preserve">Показатель 4. Количество мероприятий, проведенных на базе муниципальных образовательных организаций по профилактике детского дорожно-транспортного травматизма и безопасности дорожного движения </t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</si>
  <si>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</si>
  <si>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Показатель 1. Степень выполнения  плана мероприятий по организации воспитания и социализации обучающихся ежегодно</t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</si>
  <si>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развитие воспитания и социализацию обучающихся</t>
    </r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</si>
  <si>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</si>
  <si>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«Дети Северодвинска»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</si>
  <si>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</si>
  <si>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</si>
  <si>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5. Количество обучающихся, вовлеченных  в трудовую, общественно-полезную деятельность ежегодно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</si>
  <si>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</si>
  <si>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</si>
  <si>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r>
      <t xml:space="preserve">Мероприятие 4.04.  </t>
    </r>
    <r>
      <rPr>
        <sz val="10"/>
        <color indexed="8"/>
        <rFont val="Times New Roman"/>
        <family val="1"/>
      </rPr>
      <t>Проведение мероприятий по безопасности дорожного движения и профилактике детского дорожно-транспортного травматизма</t>
    </r>
  </si>
  <si>
    <t>Показатель 1. Количество обучающихся образовательных организаций, принявших участие в мероприятиях по безопасности дорожного движения и профилактике детского дорожно-транспортного травматизма</t>
  </si>
  <si>
    <t>Показатель 2. Количество световозвращающих элементов, приобретенных для обучающихся муниципальных образовательных организаций</t>
  </si>
  <si>
    <t>Показатель 3. Количество муниципальных образовательных организаций, оснащенных средствами обучения, учебными и методическими материалами  по профилактики детского дорожно-транспортного травматизма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</si>
  <si>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</si>
  <si>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</si>
  <si>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</si>
  <si>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Административное мероприятие  5.01.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</si>
  <si>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</si>
  <si>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2. Степень выполнения плана мероприятий по организации профориентации детей и молодежи для кадрового обеспечения судостроительного кластера ежегодно</t>
  </si>
  <si>
    <r>
      <t xml:space="preserve">Мероприятие 5.02. </t>
    </r>
    <r>
      <rPr>
        <sz val="10"/>
        <color indexed="8"/>
        <rFont val="Times New Roman"/>
        <family val="1"/>
      </rPr>
      <t>Участие муниципальных 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  </r>
  </si>
  <si>
    <t>Показатель 1. Количество образовательных организаций, принявших участие в конкурсе по поиску в Интернете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</si>
  <si>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</si>
  <si>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3. Количество обучающихся образовательных организаций, принявших участие в проекте  «Инженеры будущего»</t>
  </si>
  <si>
    <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</si>
  <si>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</si>
  <si>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</si>
  <si>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3. Количество выездов команды МАОУДО  «Северный Кванториум» на российские соревнования по судомоделированию</t>
  </si>
  <si>
    <t>Показатель 4. Количество обучающихся, освоивших программу  «3D-моделирование»</t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</si>
  <si>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</si>
  <si>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t>Показатель 1. Количество мероприятий, проведенных на базе оборудованных кабинетов профориентации МБОУ «СОШ № 9», МБОУ ДО «Детский морской центр «Североморец»</t>
  </si>
  <si>
    <t>Показатель 2. Количество оборудования, приобретенного для объединений судомоделирования  и радиоконструирования МАОУДО  «Северный Кванториум»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</si>
  <si>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</si>
  <si>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</si>
  <si>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</si>
  <si>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 «Образование»</t>
  </si>
  <si>
    <t>Показатель 3. Доля обучающихся муниципальных образовательных организаций, выполнивших нормативы Всероссийского физкультурно-спортивного комплекса «Готов к труду и обороне» (ГТО), в общей численности обучающихся муниципальных образовательных организаций, принявших участие в выполнении нормативов ВФСК ГТО</t>
  </si>
  <si>
    <t>Административное мероприятие 6.01.       Разработка и внедрение нормативных правовых актов по вопросам развития физической культуры и спорта в сфере образования Северодвинска</t>
  </si>
  <si>
    <t>Показатель 1. Количество организаций, которые используют методические рекомендации ежегодно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</si>
  <si>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</si>
  <si>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</si>
  <si>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</si>
  <si>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</si>
  <si>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</si>
  <si>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</si>
  <si>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Показатель 5. Оказание услуг по предоставлению легкоатлетических дорожек, прыжковой ямы, лыжной трассы, беговой трассы стадиона «Север» для проведения спортивных состязаний, нежилого помещения МАУ «СШ«Строитель» для проведения занятий по боксу</t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</si>
  <si>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</si>
  <si>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7.Оказание услуг по предоставлению крытого хоккейного корта с искусственным льдом</t>
  </si>
  <si>
    <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видам спорта в муниципальных организациях  дополнительного образования</t>
    </r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</si>
  <si>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</si>
  <si>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</si>
  <si>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</si>
  <si>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</si>
  <si>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</si>
  <si>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</si>
  <si>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</si>
  <si>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</si>
  <si>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3. Доля обучающихся, задействованных в системе мероприятий по выявлению и поддержке одаренных (талантливых) детей , в общей численности обучающихся</t>
  </si>
  <si>
    <t xml:space="preserve">Административное мероприятие  7.01. Разработка  и реализация плана мероприятий по выявлению и поддержке одаренных (талантливых) детей </t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</si>
  <si>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</si>
  <si>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</si>
  <si>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</si>
  <si>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</si>
  <si>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</si>
  <si>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</si>
  <si>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«Юность Северодвинска»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</si>
  <si>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</si>
  <si>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</si>
  <si>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2. Охват детей организованными формами  отдыха, оздоровления и занятости в каникулярный период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</si>
  <si>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«Образование»</t>
  </si>
  <si>
    <t>Административное мероприятие 8.01. Разработка нормативных правовых актов по вопросам организации отдыха, оздоровления и занятости детей в каникулярный период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</si>
  <si>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</si>
  <si>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</si>
  <si>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</si>
  <si>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</si>
  <si>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3.Численность детей, охваченных организованными формами отдыха и оздоровления ежегодно</t>
  </si>
  <si>
    <t>Показатель 4. Количество лагерей, в которых проведено укрепление материально-технической базы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</si>
  <si>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</si>
  <si>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</si>
  <si>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«Образование»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</si>
  <si>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</si>
  <si>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t>Показатель 4. Количество оказанных услуг психолого-педагогической, медицинской и консультативной помощи родителям (законным представителям)</t>
  </si>
  <si>
    <t>Административное мероприятие  9.01. Формирование и утверждение муниципального задания МБОУ  ЦППМСП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</si>
  <si>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</si>
  <si>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t xml:space="preserve">Мероприятие 9.02. </t>
    </r>
    <r>
      <rPr>
        <sz val="10"/>
        <color indexed="8"/>
        <rFont val="Times New Roman"/>
        <family val="1"/>
      </rPr>
      <t>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</si>
  <si>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</si>
  <si>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</si>
  <si>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</t>
  </si>
  <si>
    <t>Показатель 5.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</si>
  <si>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Показатель 6. Количество детей, охваченных психолого-педагогическими консультациями</t>
  </si>
  <si>
    <t>Подпрограмма «Развитие инфраструктуры муниципальной системы образования Северодвинска»</t>
  </si>
  <si>
    <t>Задача: Строительство и капитальный ремонт объектов инфраструктуры  системы образования Северодвинска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</si>
  <si>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</si>
  <si>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t>Показатель 2. Коэффициент физического износа основных фондов муниципальных образовательных организаций</t>
  </si>
  <si>
    <t>Административное мероприятие 1.01. Утверждение перечня объектов муниципальных образовательных организаций, подлежащих строительству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</si>
  <si>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</si>
  <si>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</si>
  <si>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</si>
  <si>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</si>
  <si>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</si>
  <si>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</si>
  <si>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</si>
  <si>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</si>
  <si>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сараев для хозяйственного инвентаря</t>
  </si>
  <si>
    <t>Показатель 4. Количество учреждений оборудованных игровыми площадками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</si>
  <si>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</si>
  <si>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</si>
  <si>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</si>
  <si>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Показатель 3. Доля муниципальных образовательных организаций, в которых проведены работы по усилению конструкций зданий</t>
  </si>
  <si>
    <t>Административное мероприятие 2.01. 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</si>
  <si>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</si>
  <si>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</si>
  <si>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3.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усилению конструкций зданий</t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</si>
  <si>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</si>
  <si>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</si>
  <si>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</si>
  <si>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</si>
  <si>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</si>
  <si>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r>
      <rPr>
        <b/>
        <sz val="10"/>
        <color indexed="8"/>
        <rFont val="Times New Roman"/>
        <family val="1"/>
      </rPr>
      <t>Мероприятие 2.04.</t>
    </r>
    <r>
      <rPr>
        <sz val="10"/>
        <color indexed="8"/>
        <rFont val="Times New Roman"/>
        <family val="1"/>
      </rPr>
      <t xml:space="preserve"> Проведение мероприятий, направленных на усиление строительных конструкций зданий муниципальных образовательных организаций</t>
    </r>
  </si>
  <si>
    <t>Показатель 1. Количество зданий муниципальных образовательных организаций, на которых проведено усиление строительных конструкций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</si>
  <si>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</si>
  <si>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</si>
  <si>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</si>
  <si>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</si>
  <si>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</si>
  <si>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</si>
  <si>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</si>
  <si>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</si>
  <si>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</si>
  <si>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</si>
  <si>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</si>
  <si>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</si>
  <si>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</si>
  <si>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</si>
  <si>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r>
      <t>Мероприятие 3.03.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спортивных сооружений муниципальных образовательных организаций</t>
    </r>
  </si>
  <si>
    <t>Показатель 1. Количество плавательных бассейнов,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</si>
  <si>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</si>
  <si>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3. Количество плоскостных спортивных сооружений, прошедших капитальный и текущий ремонты</t>
  </si>
  <si>
    <r>
      <t>Мероприятие 3.04.</t>
    </r>
    <r>
      <rPr>
        <sz val="10"/>
        <color indexed="8"/>
        <rFont val="Times New Roman"/>
        <family val="1"/>
      </rPr>
      <t xml:space="preserve"> 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</si>
  <si>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t>Показатель 1. Количество теневых навесов,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</si>
  <si>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</si>
  <si>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</si>
  <si>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</si>
  <si>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</si>
  <si>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</si>
  <si>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</si>
  <si>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</si>
  <si>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</si>
  <si>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</si>
  <si>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</si>
  <si>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</si>
  <si>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</si>
  <si>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</si>
  <si>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</si>
  <si>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</si>
  <si>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</si>
  <si>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9. Количество разработанных проектов на выполнение работ связанных с системы отопления</t>
  </si>
  <si>
    <r>
      <t>Мероприятие 3.07</t>
    </r>
    <r>
      <rPr>
        <sz val="10"/>
        <color indexed="8"/>
        <rFont val="Times New Roman"/>
        <family val="1"/>
      </rPr>
      <t>. Выполнение работ по комплексному ремонту помещений зданий муниципальных образовательных организаций</t>
    </r>
  </si>
  <si>
    <t>Показатель 1. Площадь помещений, прошедших текущий ремонт за счет средств местного бюджета</t>
  </si>
  <si>
    <t>Подпрограмма «Формирование комфортной и безопасной образовательной среды»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</si>
  <si>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</si>
  <si>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</si>
  <si>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</si>
  <si>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 xml:space="preserve">Административное мероприятие 1.01. Формирование и утверждение нормативных затрат МКУ ЦОФООС на выполнение муниципальных функций </t>
  </si>
  <si>
    <t xml:space="preserve">Показатель 1. Доля учреждений, для которых  утверждены нормативные затраты на выполнение муниципальных функций 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</si>
  <si>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</t>
    </r>
  </si>
  <si>
    <t>Показатель 1.  Общая площадь подведомственных объектов</t>
  </si>
  <si>
    <t>кв.м,                       не менее</t>
  </si>
  <si>
    <r>
      <t xml:space="preserve">Мероприятие 1.03. </t>
    </r>
    <r>
      <rPr>
        <sz val="10"/>
        <color indexed="8"/>
        <rFont val="Times New Roman"/>
        <family val="1"/>
      </rPr>
      <t>Обеспечение содержания отдельных зданий и сооружений муниципальных образовательных организаций,  в которых не оказываются муниципальные услуги</t>
    </r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</si>
  <si>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«Образование»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</si>
  <si>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</si>
  <si>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</si>
  <si>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</si>
  <si>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</si>
  <si>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</si>
  <si>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</si>
  <si>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</si>
  <si>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</si>
  <si>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</si>
  <si>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кв.м</t>
  </si>
  <si>
    <t>Показатель 4. Площадь благоустроенной территории</t>
  </si>
  <si>
    <t xml:space="preserve">Показатель 5. Количество установленного игрового оборудования и леерного ограждения на территории муниципальных образовательных организаций, реализующих программы дошкольного образования 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</si>
  <si>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</si>
  <si>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</si>
  <si>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</si>
  <si>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</si>
  <si>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</si>
  <si>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</si>
  <si>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6. Доля муниципальных образовательных организаций, в которых проведены мероприятия по обеспечению пожарной безопасности в соответствии с Правилами противопожарного режима в Российской Федерации</t>
  </si>
  <si>
    <t>Административное мероприятие 3.01.  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</si>
  <si>
    <t>Показатель 1. Количество планов мероприятий по исполнению предписаний ОНД г. Северодвинска</t>
  </si>
  <si>
    <r>
      <t xml:space="preserve">Мероприятие 3.02. </t>
    </r>
    <r>
      <rPr>
        <sz val="10"/>
        <color indexed="8"/>
        <rFont val="Times New Roman"/>
        <family val="1"/>
      </rPr>
      <t>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</si>
  <si>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</si>
  <si>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 на пульт подразделения, ответственного за их противопожарную безопасность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</si>
  <si>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</si>
  <si>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</si>
  <si>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</si>
  <si>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</si>
  <si>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4. Количество муниципальных образовательных организаций, в которых обеспечено техническое обслуживание систем пожарно-охранной сигнализации и средств оповещения и управления эвакуацией людей при пожаре</t>
  </si>
  <si>
    <t xml:space="preserve">Показатель 5. Количество объектов, оборудованных системами автоматической пожарной сигнализации и оповещения и управления эвакуацией при пожаре в соответствии с нормативами </t>
  </si>
  <si>
    <t>Показатель 6. Количество разработанных проектов систем автоматической пожарной сигнализации и оповещения и управления эвакуацией при пожаре с целью оборудования, модернизации указанных систем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</si>
  <si>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</si>
  <si>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</si>
  <si>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</si>
  <si>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</si>
  <si>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>Показатель 4. Доля муниципальных образовательных организаций, в которых проведены мероприятия по  обеспечению технической укрепленности и антитеррористической защищенности</t>
  </si>
  <si>
    <t>Административное мероприятие 4.01.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</si>
  <si>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</si>
  <si>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t xml:space="preserve">Мероприятие 4.02. </t>
    </r>
    <r>
      <rPr>
        <sz val="10"/>
        <color indexed="8"/>
        <rFont val="Times New Roman"/>
        <family val="1"/>
      </rPr>
      <t>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</si>
  <si>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</si>
  <si>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объектов муниципальных организаций,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</si>
  <si>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</si>
  <si>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Показатель 4. Количество муниципальных образовательных организаций, в которых приняты меры по пресечению правонарушений, преступлений с помощью кнопки тревожной сигнализации, охранных систем</t>
  </si>
  <si>
    <t>Показатель 5. Количество объектов муниципальных образовательных организаций, оснащенных мобильными металлодетекторами</t>
  </si>
  <si>
    <t>Показатель 6. Количество объектов муниципальных организаций, в которых проведена модернизация систем видеонаблюдения</t>
  </si>
  <si>
    <t>Показатель 7. Количество разработанных проектов систем охранной сигнализации с целью оборудования указанной системой объектов муниципальных образовательных организаций</t>
  </si>
  <si>
    <t>Показатель 8. Количество объектов муниципальных образовательных организаций, оборудованных системой охранной сигнализации</t>
  </si>
  <si>
    <t>Показатель 9. Количество объектов муниципальных образовательных организаций, оборудованных системами контроля и управления доступом</t>
  </si>
  <si>
    <t>Показатель 10. Количество объектов муниципальных образовательных организаций, в которых  проведена модернизация системы контроля и управления доступом</t>
  </si>
  <si>
    <t>Показатель 11. Количество объектов муниципальных образовательных организаций, в которых  проведена модернизация системы тревожной сигнализации</t>
  </si>
  <si>
    <t>Показатель 12. Количество объектов муниципальных образовательных организаций, в которых  провнден  комплекс работ  по   оборудованию  видеодомофонами</t>
  </si>
  <si>
    <t>Показатель 13. Количество объектов муниципальных образовательных организаций, в которых оборудованы  помещения для охраны (посты охраны)</t>
  </si>
  <si>
    <t>Показатель 14. Количество объектов муниципальных образовательных организаций, на территории которых выполнена замена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</si>
  <si>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</si>
  <si>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</si>
  <si>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</si>
  <si>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3. Доля работников муниципальных образовательных организаций, прошедших психиатрическое освидетельствование</t>
  </si>
  <si>
    <t>Административное мероприятие 5.01.  Разработка и реализация плана мероприятий по подготовке муниципальных образовательных организаций к новому учебному году</t>
  </si>
  <si>
    <t>Показатель 1. Количество разработанных планов образовательных организаций по подготовке к новому учебному году</t>
  </si>
  <si>
    <r>
      <t xml:space="preserve">Мероприятие 5.02. </t>
    </r>
    <r>
      <rPr>
        <sz val="10"/>
        <color indexed="8"/>
        <rFont val="Times New Roman"/>
        <family val="1"/>
      </rPr>
      <t>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</si>
  <si>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</si>
  <si>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</si>
  <si>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Показатель 3. Количество работников муниципальных образовательных организаций, прошедших психиатрическое освидетельствование</t>
  </si>
  <si>
    <t>Показатель 4. Количество образовательных организаций, оснащенных оборудованием для профилактики COVID-19, ОРВИ и гриппа</t>
  </si>
  <si>
    <t>Подпрограмма «Безбарьерная среда муниципальных образовательных учреждений Северодвинска»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</si>
  <si>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</si>
  <si>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</si>
  <si>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</si>
  <si>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Административное мероприятие 1.01. Разработка нормативных правовых актов по вопросам реализации инклюзивного образования</t>
  </si>
  <si>
    <t>Показатель 1. Количество разработанных нормативных правовых актов по вопросам реализации инклюзивного образования</t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</si>
  <si>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</si>
  <si>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</si>
  <si>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</si>
  <si>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</si>
  <si>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</si>
  <si>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</si>
  <si>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Административное мероприятие 2.01. 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</si>
  <si>
    <t>Показатель 1. Количество разработанных распоряжений Управления образования Администрации Северодвинска</t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</si>
  <si>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</si>
  <si>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</si>
  <si>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</si>
  <si>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«Совершенствование системы предоставления услуг в сфере образования Северодвинска»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</si>
  <si>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</si>
  <si>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</si>
  <si>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</si>
  <si>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Административное мероприятие  1.01. Разработка и внедрение нормативных правовых актов по вопросам осуществления инновационной деятельности в сфере образования Северодвинска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</si>
  <si>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«Образование»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</si>
  <si>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</si>
  <si>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</si>
  <si>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</si>
  <si>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</si>
  <si>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</si>
  <si>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</si>
  <si>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</si>
  <si>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2. Количество граждан, обратившихся за предоставлением муниципальных услуг в электронном виде</t>
  </si>
  <si>
    <t>Административное мероприятие  2.01. Разработка и внедрение нормативных правовых актов по вопросам информационной открытости в сфере образования Северодвинска</t>
  </si>
  <si>
    <t>Показатель 1. Количество посещений, обращений граждан на портале Управления образования Администрации Северодвинска</t>
  </si>
  <si>
    <t>Показатель 2. Количество нормативных правовых актов по вопросам функционирования в сфере образования Северодвинска</t>
  </si>
  <si>
    <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</si>
  <si>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</si>
  <si>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</si>
  <si>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Показатель 3. Количество посещений, обращений граждан на портале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</si>
  <si>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</si>
  <si>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</si>
  <si>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</si>
  <si>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</si>
  <si>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</si>
  <si>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Административное мероприятие  3.01. Организация деятельности школы молодого педагога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</si>
  <si>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</si>
  <si>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r>
      <t xml:space="preserve">Мероприятие 3.02. </t>
    </r>
    <r>
      <rPr>
        <sz val="10"/>
        <color indexed="12"/>
        <rFont val="Times New Roman"/>
        <family val="1"/>
      </rPr>
      <t>Предоставление мер социальной поддержки работникам образовательных учреждений, в том числе бывшим работникам</t>
    </r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</si>
  <si>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</si>
  <si>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</si>
  <si>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</si>
  <si>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4. Количество педагогических работников, получающих компенсацию за наем жилых помещений</t>
  </si>
  <si>
    <r>
      <t>Мероприятие 3.03.</t>
    </r>
    <r>
      <rPr>
        <sz val="10"/>
        <color indexed="8"/>
        <rFont val="Times New Roman"/>
        <family val="1"/>
      </rPr>
      <t xml:space="preserve"> 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</si>
  <si>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</si>
  <si>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тыс.руб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</si>
  <si>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</si>
  <si>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</si>
  <si>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</si>
  <si>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</si>
  <si>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</si>
  <si>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</si>
  <si>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</si>
  <si>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</si>
  <si>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r>
      <t>Мероприятие 3.05.</t>
    </r>
    <r>
      <rPr>
        <sz val="10"/>
        <color indexed="8"/>
        <rFont val="Times New Roman"/>
        <family val="1"/>
      </rPr>
      <t>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  </r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</si>
  <si>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</si>
  <si>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</si>
  <si>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</si>
  <si>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</si>
  <si>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Административное мероприятие 4.01.           Разработка и внедрение нормативных правовых актов по вопросам независимой системы оценки качества работы в сфере образования Северодвинска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</si>
  <si>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</si>
  <si>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единиц,                  не менее</t>
  </si>
  <si>
    <t xml:space="preserve">Показатель 2. Количество муниципальных образовательных организаций, участвующих в мониторинге, рейтинге </t>
  </si>
  <si>
    <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</si>
  <si>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</si>
  <si>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</si>
  <si>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</si>
  <si>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1. Обеспечение деятельности ответственного исполнителя муниципальной программы –  муниципального казенного учреждения «Управление образования Администрации Северодвинска»</t>
  </si>
  <si>
    <t>Мероприятие 1.01. Расходы на содержание органов Администрации Северодвинска и обеспечение их функций</t>
  </si>
  <si>
    <t>2. Административные мероприятия</t>
  </si>
  <si>
    <t>Административное мероприятие 2.01. Разработка нормативных правовых актов, необходимых для реализации законодательства в сфере образования на территории муниципального образования «Северодвинск»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</si>
  <si>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</si>
  <si>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Административное мероприятие 2.02.          Подготовка (переподготовка) специалистов в сфере реализации программы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</si>
  <si>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</si>
  <si>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</si>
  <si>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1. Количество проведенных организационно-методических мероприятий</t>
  </si>
  <si>
    <r>
      <t xml:space="preserve">Мероприятие 1.08. </t>
    </r>
    <r>
      <rPr>
        <sz val="10"/>
        <color indexed="12"/>
        <rFont val="Times New Roman"/>
        <family val="1"/>
      </rPr>
      <t>Возмещение расходов по обязательствам, возникающих из судебных исков, претензионных требований и предписаний надзорных органов в дошкольных образовательных организациях</t>
    </r>
  </si>
  <si>
    <r>
      <t>Мероприятие 2.06.</t>
    </r>
    <r>
      <rPr>
        <sz val="10"/>
        <color indexed="12"/>
        <rFont val="Times New Roman"/>
        <family val="1"/>
      </rPr>
      <t xml:space="preserve"> Возмещение расходов по обязательствам, возникающих из судебных исков, претензионных требований и предписаний надзорных органов в общеобразовательных организациях</t>
    </r>
  </si>
  <si>
    <r>
      <t>Мероприятие 1.03</t>
    </r>
    <r>
      <rPr>
        <sz val="10"/>
        <color indexed="8"/>
        <rFont val="Times New Roman"/>
        <family val="1"/>
      </rPr>
      <t xml:space="preserve">. Компенсация родительской платы за присмотр и уход за детьми в </t>
    </r>
    <r>
      <rPr>
        <sz val="10"/>
        <color indexed="8"/>
        <rFont val="Times New Roman"/>
        <family val="1"/>
      </rPr>
      <t xml:space="preserve">образовательных организациях, реализующих образовательную программу дошкольного образования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</si>
</sst>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_ ;[Red]\-#,##0\ "/>
    <numFmt numFmtId="183" formatCode="#,##0.0_ ;\-#,##0.0\ "/>
  </numFmts>
  <fonts count="67">
    <font>
      <sz val="10"/>
      <color rgb="FF00000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u val="single"/>
      <sz val="7.5"/>
      <color indexed="12"/>
      <name val="Times New Roman"/>
      <family val="1"/>
    </font>
    <font>
      <sz val="10"/>
      <name val="Arial"/>
      <family val="2"/>
    </font>
    <font>
      <u val="single"/>
      <sz val="7.5"/>
      <color indexed="36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8" fillId="30" borderId="8" applyNumberFormat="0" applyFont="0" applyAlignment="0" applyProtection="0"/>
    <xf numFmtId="9" fontId="1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1" xfId="0" applyFont="1" applyFill="1" applyBorder="1" applyAlignment="1">
      <alignment horizontal="center" vertical="center" textRotation="90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16" fontId="3" fillId="3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/>
    </xf>
    <xf numFmtId="180" fontId="2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vertical="center"/>
    </xf>
    <xf numFmtId="180" fontId="9" fillId="35" borderId="0" xfId="0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180" fontId="3" fillId="36" borderId="10" xfId="0" applyNumberFormat="1" applyFont="1" applyFill="1" applyBorder="1" applyAlignment="1">
      <alignment horizontal="center" vertical="center" wrapText="1"/>
    </xf>
    <xf numFmtId="180" fontId="3" fillId="40" borderId="10" xfId="0" applyNumberFormat="1" applyFont="1" applyFill="1" applyBorder="1" applyAlignment="1">
      <alignment horizontal="center" vertical="center" wrapText="1"/>
    </xf>
    <xf numFmtId="180" fontId="59" fillId="40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9" borderId="10" xfId="0" applyNumberFormat="1" applyFont="1" applyFill="1" applyBorder="1" applyAlignment="1">
      <alignment horizontal="center" vertical="center" wrapText="1"/>
    </xf>
    <xf numFmtId="180" fontId="59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180" fontId="2" fillId="39" borderId="10" xfId="0" applyNumberFormat="1" applyFont="1" applyFill="1" applyBorder="1" applyAlignment="1">
      <alignment horizontal="center" vertical="center" wrapText="1"/>
    </xf>
    <xf numFmtId="180" fontId="2" fillId="35" borderId="10" xfId="0" applyNumberFormat="1" applyFont="1" applyFill="1" applyBorder="1" applyAlignment="1">
      <alignment horizontal="center" vertical="center" wrapText="1"/>
    </xf>
    <xf numFmtId="180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80" fontId="60" fillId="35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 vertical="center" wrapText="1"/>
    </xf>
    <xf numFmtId="181" fontId="2" fillId="35" borderId="10" xfId="0" applyNumberFormat="1" applyFont="1" applyFill="1" applyBorder="1" applyAlignment="1">
      <alignment horizontal="center" vertical="center" wrapText="1"/>
    </xf>
    <xf numFmtId="181" fontId="12" fillId="35" borderId="10" xfId="0" applyNumberFormat="1" applyFont="1" applyFill="1" applyBorder="1" applyAlignment="1">
      <alignment horizontal="center" vertical="center" wrapText="1"/>
    </xf>
    <xf numFmtId="180" fontId="7" fillId="35" borderId="10" xfId="0" applyNumberFormat="1" applyFont="1" applyFill="1" applyBorder="1" applyAlignment="1">
      <alignment horizontal="center" vertical="center" wrapText="1"/>
    </xf>
    <xf numFmtId="180" fontId="61" fillId="39" borderId="10" xfId="0" applyNumberFormat="1" applyFont="1" applyFill="1" applyBorder="1" applyAlignment="1">
      <alignment horizontal="center" vertical="center" wrapText="1"/>
    </xf>
    <xf numFmtId="180" fontId="3" fillId="37" borderId="10" xfId="0" applyNumberFormat="1" applyFont="1" applyFill="1" applyBorder="1" applyAlignment="1">
      <alignment horizontal="center" vertical="center" wrapText="1"/>
    </xf>
    <xf numFmtId="180" fontId="3" fillId="41" borderId="10" xfId="0" applyNumberFormat="1" applyFont="1" applyFill="1" applyBorder="1" applyAlignment="1">
      <alignment horizontal="center" vertical="center" wrapText="1"/>
    </xf>
    <xf numFmtId="180" fontId="62" fillId="41" borderId="10" xfId="0" applyNumberFormat="1" applyFont="1" applyFill="1" applyBorder="1" applyAlignment="1">
      <alignment horizontal="center" vertical="center" wrapText="1"/>
    </xf>
    <xf numFmtId="180" fontId="62" fillId="34" borderId="10" xfId="0" applyNumberFormat="1" applyFont="1" applyFill="1" applyBorder="1" applyAlignment="1">
      <alignment horizontal="center" vertical="center" wrapText="1"/>
    </xf>
    <xf numFmtId="180" fontId="62" fillId="39" borderId="10" xfId="0" applyNumberFormat="1" applyFont="1" applyFill="1" applyBorder="1" applyAlignment="1">
      <alignment horizontal="center" vertical="center" wrapText="1"/>
    </xf>
    <xf numFmtId="180" fontId="61" fillId="35" borderId="10" xfId="0" applyNumberFormat="1" applyFont="1" applyFill="1" applyBorder="1" applyAlignment="1">
      <alignment horizontal="center" vertical="center" wrapText="1"/>
    </xf>
    <xf numFmtId="180" fontId="2" fillId="38" borderId="10" xfId="0" applyNumberFormat="1" applyFont="1" applyFill="1" applyBorder="1" applyAlignment="1">
      <alignment horizontal="center" vertical="center" wrapText="1"/>
    </xf>
    <xf numFmtId="180" fontId="3" fillId="38" borderId="10" xfId="0" applyNumberFormat="1" applyFont="1" applyFill="1" applyBorder="1" applyAlignment="1">
      <alignment horizontal="center" vertical="center" wrapText="1"/>
    </xf>
    <xf numFmtId="180" fontId="3" fillId="42" borderId="10" xfId="0" applyNumberFormat="1" applyFont="1" applyFill="1" applyBorder="1" applyAlignment="1">
      <alignment horizontal="center" vertical="center" wrapText="1"/>
    </xf>
    <xf numFmtId="180" fontId="4" fillId="42" borderId="10" xfId="0" applyNumberFormat="1" applyFont="1" applyFill="1" applyBorder="1" applyAlignment="1">
      <alignment horizontal="center" vertical="center" wrapText="1"/>
    </xf>
    <xf numFmtId="180" fontId="3" fillId="35" borderId="10" xfId="0" applyNumberFormat="1" applyFont="1" applyFill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181" fontId="60" fillId="35" borderId="10" xfId="0" applyNumberFormat="1" applyFont="1" applyFill="1" applyBorder="1" applyAlignment="1">
      <alignment horizontal="center" vertical="center" wrapText="1"/>
    </xf>
    <xf numFmtId="181" fontId="2" fillId="39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80" fontId="4" fillId="38" borderId="10" xfId="0" applyNumberFormat="1" applyFont="1" applyFill="1" applyBorder="1" applyAlignment="1">
      <alignment horizontal="center" vertical="center" wrapText="1"/>
    </xf>
    <xf numFmtId="180" fontId="63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 wrapText="1"/>
    </xf>
    <xf numFmtId="180" fontId="6" fillId="42" borderId="1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180" fontId="59" fillId="36" borderId="10" xfId="0" applyNumberFormat="1" applyFont="1" applyFill="1" applyBorder="1" applyAlignment="1">
      <alignment horizontal="center" vertical="center" wrapText="1"/>
    </xf>
    <xf numFmtId="180" fontId="59" fillId="32" borderId="10" xfId="0" applyNumberFormat="1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180" fontId="12" fillId="39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180" fontId="7" fillId="39" borderId="10" xfId="0" applyNumberFormat="1" applyFont="1" applyFill="1" applyBorder="1" applyAlignment="1">
      <alignment horizontal="center" vertical="center" wrapText="1"/>
    </xf>
    <xf numFmtId="180" fontId="59" fillId="41" borderId="10" xfId="0" applyNumberFormat="1" applyFont="1" applyFill="1" applyBorder="1" applyAlignment="1">
      <alignment horizontal="center" vertical="center" wrapText="1"/>
    </xf>
    <xf numFmtId="180" fontId="62" fillId="37" borderId="10" xfId="0" applyNumberFormat="1" applyFont="1" applyFill="1" applyBorder="1" applyAlignment="1">
      <alignment horizontal="center" vertical="center" wrapText="1"/>
    </xf>
    <xf numFmtId="180" fontId="59" fillId="34" borderId="10" xfId="0" applyNumberFormat="1" applyFont="1" applyFill="1" applyBorder="1" applyAlignment="1">
      <alignment horizontal="center" vertical="center" wrapText="1"/>
    </xf>
    <xf numFmtId="180" fontId="2" fillId="42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3" fontId="12" fillId="39" borderId="10" xfId="0" applyNumberFormat="1" applyFont="1" applyFill="1" applyBorder="1" applyAlignment="1">
      <alignment horizontal="center" vertical="center" wrapText="1"/>
    </xf>
    <xf numFmtId="181" fontId="61" fillId="35" borderId="10" xfId="0" applyNumberFormat="1" applyFont="1" applyFill="1" applyBorder="1" applyAlignment="1">
      <alignment horizontal="center" vertical="center" wrapText="1"/>
    </xf>
    <xf numFmtId="181" fontId="2" fillId="32" borderId="10" xfId="0" applyNumberFormat="1" applyFont="1" applyFill="1" applyBorder="1" applyAlignment="1">
      <alignment horizontal="center" vertical="center" wrapText="1"/>
    </xf>
    <xf numFmtId="181" fontId="61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180" fontId="6" fillId="39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12" fillId="39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180" fontId="2" fillId="32" borderId="0" xfId="0" applyNumberFormat="1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180" fontId="3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9" borderId="10" xfId="0" applyNumberFormat="1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4" borderId="10" xfId="0" applyNumberFormat="1" applyFont="1" applyFill="1" applyBorder="1" applyAlignment="1">
      <alignment horizontal="center" vertical="center" wrapText="1"/>
    </xf>
    <xf numFmtId="0" fontId="64" fillId="39" borderId="10" xfId="0" applyNumberFormat="1" applyFont="1" applyFill="1" applyBorder="1" applyAlignment="1">
      <alignment horizontal="center" vertical="center" wrapText="1"/>
    </xf>
    <xf numFmtId="0" fontId="64" fillId="35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80" fontId="62" fillId="42" borderId="10" xfId="0" applyNumberFormat="1" applyFont="1" applyFill="1" applyBorder="1" applyAlignment="1">
      <alignment horizontal="center" vertical="center" wrapText="1"/>
    </xf>
    <xf numFmtId="180" fontId="62" fillId="35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 vertical="center" wrapText="1"/>
    </xf>
    <xf numFmtId="180" fontId="5" fillId="39" borderId="10" xfId="0" applyNumberFormat="1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39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13" fillId="41" borderId="10" xfId="0" applyNumberFormat="1" applyFont="1" applyFill="1" applyBorder="1" applyAlignment="1">
      <alignment horizontal="center" vertical="center" wrapText="1"/>
    </xf>
    <xf numFmtId="180" fontId="13" fillId="39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81" fontId="7" fillId="3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81" fontId="5" fillId="34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80" fontId="59" fillId="4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4" fillId="39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Border="1" applyAlignment="1">
      <alignment/>
    </xf>
    <xf numFmtId="4" fontId="5" fillId="32" borderId="0" xfId="0" applyNumberFormat="1" applyFont="1" applyFill="1" applyBorder="1" applyAlignment="1">
      <alignment/>
    </xf>
    <xf numFmtId="180" fontId="12" fillId="32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vertical="center" wrapText="1"/>
    </xf>
    <xf numFmtId="0" fontId="59" fillId="38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3" fontId="61" fillId="33" borderId="10" xfId="0" applyNumberFormat="1" applyFont="1" applyFill="1" applyBorder="1" applyAlignment="1">
      <alignment horizontal="center" vertical="center" wrapText="1"/>
    </xf>
    <xf numFmtId="3" fontId="61" fillId="43" borderId="10" xfId="0" applyNumberFormat="1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5" fillId="39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4" fillId="41" borderId="10" xfId="0" applyNumberFormat="1" applyFont="1" applyFill="1" applyBorder="1" applyAlignment="1">
      <alignment horizontal="center" vertical="center" wrapText="1"/>
    </xf>
    <xf numFmtId="181" fontId="61" fillId="34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180" fontId="12" fillId="4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80" fontId="62" fillId="32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180" fontId="6" fillId="41" borderId="10" xfId="0" applyNumberFormat="1" applyFont="1" applyFill="1" applyBorder="1" applyAlignment="1">
      <alignment horizontal="center" vertical="center" wrapText="1"/>
    </xf>
    <xf numFmtId="181" fontId="12" fillId="34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6" fillId="32" borderId="10" xfId="0" applyNumberFormat="1" applyFont="1" applyFill="1" applyBorder="1" applyAlignment="1">
      <alignment horizontal="center" vertical="center" wrapText="1"/>
    </xf>
    <xf numFmtId="180" fontId="58" fillId="33" borderId="0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80" fontId="4" fillId="37" borderId="10" xfId="0" applyNumberFormat="1" applyFont="1" applyFill="1" applyBorder="1" applyAlignment="1">
      <alignment horizontal="center" vertical="center" wrapText="1"/>
    </xf>
    <xf numFmtId="180" fontId="59" fillId="37" borderId="10" xfId="0" applyNumberFormat="1" applyFont="1" applyFill="1" applyBorder="1" applyAlignment="1">
      <alignment horizontal="center" vertical="center" wrapText="1"/>
    </xf>
    <xf numFmtId="180" fontId="59" fillId="35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180" fontId="61" fillId="0" borderId="10" xfId="0" applyNumberFormat="1" applyFont="1" applyFill="1" applyBorder="1" applyAlignment="1">
      <alignment horizontal="center" vertical="center" wrapText="1"/>
    </xf>
    <xf numFmtId="180" fontId="61" fillId="38" borderId="10" xfId="0" applyNumberFormat="1" applyFont="1" applyFill="1" applyBorder="1" applyAlignment="1">
      <alignment horizontal="center" vertical="center" wrapText="1"/>
    </xf>
    <xf numFmtId="3" fontId="61" fillId="35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6" fillId="37" borderId="10" xfId="0" applyNumberFormat="1" applyFont="1" applyFill="1" applyBorder="1" applyAlignment="1">
      <alignment horizontal="center" vertical="center" wrapText="1"/>
    </xf>
    <xf numFmtId="3" fontId="61" fillId="34" borderId="10" xfId="0" applyNumberFormat="1" applyFont="1" applyFill="1" applyBorder="1" applyAlignment="1">
      <alignment horizontal="center" vertical="center" wrapText="1"/>
    </xf>
    <xf numFmtId="182" fontId="2" fillId="34" borderId="10" xfId="0" applyNumberFormat="1" applyFont="1" applyFill="1" applyBorder="1" applyAlignment="1">
      <alignment horizontal="center" vertical="center" wrapText="1"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80" fontId="15" fillId="40" borderId="10" xfId="0" applyNumberFormat="1" applyFont="1" applyFill="1" applyBorder="1" applyAlignment="1">
      <alignment horizontal="center" vertical="center" wrapText="1"/>
    </xf>
    <xf numFmtId="180" fontId="15" fillId="39" borderId="10" xfId="0" applyNumberFormat="1" applyFont="1" applyFill="1" applyBorder="1" applyAlignment="1">
      <alignment horizontal="center" vertical="center" wrapText="1"/>
    </xf>
    <xf numFmtId="180" fontId="15" fillId="37" borderId="10" xfId="0" applyNumberFormat="1" applyFont="1" applyFill="1" applyBorder="1" applyAlignment="1">
      <alignment horizontal="center" vertical="center" wrapText="1"/>
    </xf>
    <xf numFmtId="180" fontId="15" fillId="35" borderId="10" xfId="0" applyNumberFormat="1" applyFont="1" applyFill="1" applyBorder="1" applyAlignment="1">
      <alignment horizontal="center" vertical="center" wrapText="1"/>
    </xf>
    <xf numFmtId="181" fontId="16" fillId="35" borderId="10" xfId="0" applyNumberFormat="1" applyFont="1" applyFill="1" applyBorder="1" applyAlignment="1">
      <alignment horizontal="center" vertical="center" wrapText="1"/>
    </xf>
    <xf numFmtId="180" fontId="16" fillId="35" borderId="10" xfId="0" applyNumberFormat="1" applyFont="1" applyFill="1" applyBorder="1" applyAlignment="1">
      <alignment horizontal="center" vertical="center" wrapText="1"/>
    </xf>
    <xf numFmtId="180" fontId="16" fillId="42" borderId="10" xfId="0" applyNumberFormat="1" applyFont="1" applyFill="1" applyBorder="1" applyAlignment="1">
      <alignment horizontal="center" vertical="center" wrapText="1"/>
    </xf>
    <xf numFmtId="3" fontId="2" fillId="32" borderId="10" xfId="53" applyNumberFormat="1" applyFont="1" applyFill="1" applyBorder="1" applyAlignment="1">
      <alignment horizontal="center" vertical="center" wrapText="1"/>
      <protection/>
    </xf>
    <xf numFmtId="3" fontId="2" fillId="35" borderId="10" xfId="53" applyNumberFormat="1" applyFont="1" applyFill="1" applyBorder="1" applyAlignment="1">
      <alignment horizontal="center" vertical="center" wrapText="1"/>
      <protection/>
    </xf>
    <xf numFmtId="3" fontId="16" fillId="35" borderId="10" xfId="53" applyNumberFormat="1" applyFont="1" applyFill="1" applyBorder="1" applyAlignment="1">
      <alignment horizontal="center" vertical="center" wrapText="1"/>
      <protection/>
    </xf>
    <xf numFmtId="180" fontId="15" fillId="42" borderId="10" xfId="0" applyNumberFormat="1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180" fontId="2" fillId="32" borderId="10" xfId="53" applyNumberFormat="1" applyFont="1" applyFill="1" applyBorder="1" applyAlignment="1">
      <alignment horizontal="center" vertical="center" wrapText="1"/>
      <protection/>
    </xf>
    <xf numFmtId="180" fontId="2" fillId="35" borderId="10" xfId="53" applyNumberFormat="1" applyFont="1" applyFill="1" applyBorder="1" applyAlignment="1">
      <alignment horizontal="center" vertical="center" wrapText="1"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180" fontId="16" fillId="0" borderId="10" xfId="53" applyNumberFormat="1" applyFont="1" applyFill="1" applyBorder="1" applyAlignment="1">
      <alignment horizontal="center" vertical="center" wrapText="1"/>
      <protection/>
    </xf>
    <xf numFmtId="1" fontId="16" fillId="35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16" fillId="35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80" fontId="15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vertical="center" wrapText="1"/>
    </xf>
    <xf numFmtId="3" fontId="2" fillId="38" borderId="10" xfId="53" applyNumberFormat="1" applyFont="1" applyFill="1" applyBorder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180" fontId="13" fillId="40" borderId="10" xfId="0" applyNumberFormat="1" applyFont="1" applyFill="1" applyBorder="1" applyAlignment="1">
      <alignment horizontal="center" vertical="center" wrapText="1"/>
    </xf>
    <xf numFmtId="180" fontId="13" fillId="32" borderId="10" xfId="0" applyNumberFormat="1" applyFont="1" applyFill="1" applyBorder="1" applyAlignment="1">
      <alignment horizontal="center" vertical="center" wrapText="1"/>
    </xf>
    <xf numFmtId="180" fontId="15" fillId="41" borderId="10" xfId="0" applyNumberFormat="1" applyFont="1" applyFill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180" fontId="2" fillId="34" borderId="10" xfId="53" applyNumberFormat="1" applyFont="1" applyFill="1" applyBorder="1" applyAlignment="1">
      <alignment horizontal="center" vertical="center" wrapText="1"/>
      <protection/>
    </xf>
    <xf numFmtId="180" fontId="16" fillId="32" borderId="10" xfId="53" applyNumberFormat="1" applyFont="1" applyFill="1" applyBorder="1" applyAlignment="1">
      <alignment horizontal="center" vertical="center" wrapText="1"/>
      <protection/>
    </xf>
    <xf numFmtId="181" fontId="3" fillId="38" borderId="10" xfId="0" applyNumberFormat="1" applyFont="1" applyFill="1" applyBorder="1" applyAlignment="1">
      <alignment horizontal="center" vertical="center" wrapText="1"/>
    </xf>
    <xf numFmtId="180" fontId="65" fillId="42" borderId="10" xfId="0" applyNumberFormat="1" applyFont="1" applyFill="1" applyBorder="1" applyAlignment="1">
      <alignment horizontal="center" vertical="center" wrapText="1"/>
    </xf>
    <xf numFmtId="180" fontId="65" fillId="35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183" fontId="3" fillId="32" borderId="10" xfId="63" applyNumberFormat="1" applyFont="1" applyFill="1" applyBorder="1" applyAlignment="1">
      <alignment horizontal="center" vertical="center" wrapText="1"/>
    </xf>
    <xf numFmtId="183" fontId="3" fillId="32" borderId="10" xfId="63" applyNumberFormat="1" applyFont="1" applyFill="1" applyBorder="1" applyAlignment="1">
      <alignment horizontal="center" vertical="center"/>
    </xf>
    <xf numFmtId="180" fontId="15" fillId="38" borderId="10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180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80" fontId="16" fillId="34" borderId="10" xfId="0" applyNumberFormat="1" applyFont="1" applyFill="1" applyBorder="1" applyAlignment="1">
      <alignment horizontal="center" vertical="center" wrapText="1"/>
    </xf>
    <xf numFmtId="180" fontId="16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181" fontId="64" fillId="35" borderId="10" xfId="0" applyNumberFormat="1" applyFont="1" applyFill="1" applyBorder="1" applyAlignment="1">
      <alignment horizontal="center" vertical="center" wrapText="1"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16" fillId="35" borderId="10" xfId="0" applyNumberFormat="1" applyFont="1" applyFill="1" applyBorder="1" applyAlignment="1">
      <alignment horizontal="center" vertical="center"/>
    </xf>
    <xf numFmtId="180" fontId="2" fillId="32" borderId="10" xfId="0" applyNumberFormat="1" applyFont="1" applyFill="1" applyBorder="1" applyAlignment="1">
      <alignment horizontal="center" vertical="center"/>
    </xf>
    <xf numFmtId="181" fontId="2" fillId="35" borderId="10" xfId="0" applyNumberFormat="1" applyFont="1" applyFill="1" applyBorder="1" applyAlignment="1">
      <alignment horizontal="center" vertical="center"/>
    </xf>
    <xf numFmtId="181" fontId="16" fillId="35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180" fontId="16" fillId="35" borderId="10" xfId="0" applyNumberFormat="1" applyFont="1" applyFill="1" applyBorder="1" applyAlignment="1">
      <alignment horizontal="center" vertical="center"/>
    </xf>
    <xf numFmtId="180" fontId="3" fillId="32" borderId="10" xfId="63" applyNumberFormat="1" applyFont="1" applyFill="1" applyBorder="1" applyAlignment="1">
      <alignment horizontal="center" vertical="center" wrapText="1"/>
    </xf>
    <xf numFmtId="180" fontId="3" fillId="34" borderId="10" xfId="63" applyNumberFormat="1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3" fontId="3" fillId="34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180" fontId="61" fillId="32" borderId="10" xfId="0" applyNumberFormat="1" applyFont="1" applyFill="1" applyBorder="1" applyAlignment="1">
      <alignment horizontal="center" vertical="center" wrapText="1"/>
    </xf>
    <xf numFmtId="180" fontId="7" fillId="38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80" fontId="13" fillId="42" borderId="10" xfId="0" applyNumberFormat="1" applyFont="1" applyFill="1" applyBorder="1" applyAlignment="1">
      <alignment horizontal="center" vertical="center" wrapText="1"/>
    </xf>
    <xf numFmtId="183" fontId="3" fillId="35" borderId="10" xfId="63" applyNumberFormat="1" applyFont="1" applyFill="1" applyBorder="1" applyAlignment="1">
      <alignment horizontal="center" vertical="center" wrapText="1"/>
    </xf>
    <xf numFmtId="180" fontId="3" fillId="35" borderId="10" xfId="0" applyNumberFormat="1" applyFont="1" applyFill="1" applyBorder="1" applyAlignment="1">
      <alignment horizontal="center" vertical="center"/>
    </xf>
    <xf numFmtId="180" fontId="13" fillId="35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 wrapText="1"/>
    </xf>
    <xf numFmtId="181" fontId="3" fillId="32" borderId="10" xfId="63" applyNumberFormat="1" applyFont="1" applyFill="1" applyBorder="1" applyAlignment="1">
      <alignment horizontal="center" vertical="center" wrapText="1"/>
    </xf>
    <xf numFmtId="181" fontId="3" fillId="35" borderId="10" xfId="63" applyNumberFormat="1" applyFont="1" applyFill="1" applyBorder="1" applyAlignment="1">
      <alignment horizontal="center" vertical="center" wrapText="1"/>
    </xf>
    <xf numFmtId="181" fontId="15" fillId="35" borderId="10" xfId="63" applyNumberFormat="1" applyFont="1" applyFill="1" applyBorder="1" applyAlignment="1">
      <alignment horizontal="center" vertical="center" wrapText="1"/>
    </xf>
    <xf numFmtId="180" fontId="16" fillId="38" borderId="10" xfId="0" applyNumberFormat="1" applyFont="1" applyFill="1" applyBorder="1" applyAlignment="1">
      <alignment horizontal="center" vertical="center" wrapText="1"/>
    </xf>
    <xf numFmtId="180" fontId="65" fillId="38" borderId="10" xfId="0" applyNumberFormat="1" applyFont="1" applyFill="1" applyBorder="1" applyAlignment="1">
      <alignment horizontal="center" vertical="center" wrapText="1"/>
    </xf>
    <xf numFmtId="183" fontId="65" fillId="35" borderId="10" xfId="63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3" fontId="16" fillId="32" borderId="10" xfId="0" applyNumberFormat="1" applyFont="1" applyFill="1" applyBorder="1" applyAlignment="1">
      <alignment horizontal="center" vertical="center" wrapText="1"/>
    </xf>
    <xf numFmtId="0" fontId="61" fillId="35" borderId="10" xfId="0" applyNumberFormat="1" applyFont="1" applyFill="1" applyBorder="1" applyAlignment="1">
      <alignment horizontal="center" vertical="center" wrapText="1"/>
    </xf>
    <xf numFmtId="180" fontId="59" fillId="38" borderId="10" xfId="0" applyNumberFormat="1" applyFont="1" applyFill="1" applyBorder="1" applyAlignment="1">
      <alignment horizontal="center" vertical="center" wrapText="1"/>
    </xf>
    <xf numFmtId="3" fontId="61" fillId="32" borderId="10" xfId="0" applyNumberFormat="1" applyFont="1" applyFill="1" applyBorder="1" applyAlignment="1">
      <alignment horizontal="center" vertical="center" wrapText="1"/>
    </xf>
    <xf numFmtId="181" fontId="61" fillId="0" borderId="10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180" fontId="61" fillId="34" borderId="10" xfId="0" applyNumberFormat="1" applyFont="1" applyFill="1" applyBorder="1" applyAlignment="1">
      <alignment horizontal="center" vertical="center" wrapText="1"/>
    </xf>
    <xf numFmtId="180" fontId="7" fillId="4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183" fontId="15" fillId="35" borderId="10" xfId="63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6" fontId="3" fillId="32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13" fillId="38" borderId="10" xfId="0" applyNumberFormat="1" applyFont="1" applyFill="1" applyBorder="1" applyAlignment="1">
      <alignment horizontal="center" vertical="center" wrapText="1"/>
    </xf>
    <xf numFmtId="180" fontId="13" fillId="35" borderId="10" xfId="0" applyNumberFormat="1" applyFont="1" applyFill="1" applyBorder="1" applyAlignment="1">
      <alignment horizontal="center" vertical="center" wrapText="1"/>
    </xf>
    <xf numFmtId="1" fontId="61" fillId="35" borderId="10" xfId="0" applyNumberFormat="1" applyFont="1" applyFill="1" applyBorder="1" applyAlignment="1">
      <alignment horizontal="center" vertical="center" wrapText="1"/>
    </xf>
    <xf numFmtId="180" fontId="17" fillId="35" borderId="10" xfId="0" applyNumberFormat="1" applyFont="1" applyFill="1" applyBorder="1" applyAlignment="1">
      <alignment horizontal="center" vertical="center"/>
    </xf>
    <xf numFmtId="180" fontId="66" fillId="35" borderId="10" xfId="0" applyNumberFormat="1" applyFont="1" applyFill="1" applyBorder="1" applyAlignment="1">
      <alignment horizontal="center" vertical="center"/>
    </xf>
    <xf numFmtId="180" fontId="4" fillId="36" borderId="10" xfId="0" applyNumberFormat="1" applyFont="1" applyFill="1" applyBorder="1" applyAlignment="1">
      <alignment horizontal="center" vertical="center" wrapText="1"/>
    </xf>
    <xf numFmtId="180" fontId="3" fillId="35" borderId="10" xfId="63" applyNumberFormat="1" applyFont="1" applyFill="1" applyBorder="1" applyAlignment="1">
      <alignment horizontal="center" vertical="center" wrapText="1"/>
    </xf>
    <xf numFmtId="180" fontId="4" fillId="35" borderId="10" xfId="63" applyNumberFormat="1" applyFont="1" applyFill="1" applyBorder="1" applyAlignment="1">
      <alignment horizontal="center" vertical="center" wrapText="1"/>
    </xf>
    <xf numFmtId="180" fontId="59" fillId="35" borderId="10" xfId="63" applyNumberFormat="1" applyFont="1" applyFill="1" applyBorder="1" applyAlignment="1">
      <alignment horizontal="center" vertical="center" wrapText="1"/>
    </xf>
    <xf numFmtId="180" fontId="61" fillId="4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80" fontId="2" fillId="32" borderId="0" xfId="0" applyNumberFormat="1" applyFont="1" applyFill="1" applyBorder="1" applyAlignment="1">
      <alignment horizontal="center" vertical="center" wrapText="1"/>
    </xf>
    <xf numFmtId="180" fontId="2" fillId="35" borderId="0" xfId="0" applyNumberFormat="1" applyFont="1" applyFill="1" applyBorder="1" applyAlignment="1">
      <alignment horizontal="center" vertical="center" wrapText="1"/>
    </xf>
    <xf numFmtId="180" fontId="7" fillId="35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top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/>
    </xf>
    <xf numFmtId="0" fontId="3" fillId="44" borderId="10" xfId="0" applyFont="1" applyFill="1" applyBorder="1" applyAlignment="1">
      <alignment horizontal="left" vertical="center" wrapText="1"/>
    </xf>
    <xf numFmtId="0" fontId="4" fillId="44" borderId="10" xfId="0" applyFont="1" applyFill="1" applyBorder="1" applyAlignment="1">
      <alignment horizontal="left" vertical="center" wrapText="1"/>
    </xf>
    <xf numFmtId="1" fontId="59" fillId="35" borderId="17" xfId="0" applyNumberFormat="1" applyFont="1" applyFill="1" applyBorder="1" applyAlignment="1">
      <alignment horizontal="center" vertical="center" wrapText="1"/>
    </xf>
    <xf numFmtId="1" fontId="59" fillId="35" borderId="18" xfId="0" applyNumberFormat="1" applyFont="1" applyFill="1" applyBorder="1" applyAlignment="1">
      <alignment horizontal="center" vertical="center" wrapText="1"/>
    </xf>
    <xf numFmtId="1" fontId="3" fillId="35" borderId="19" xfId="0" applyNumberFormat="1" applyFont="1" applyFill="1" applyBorder="1" applyAlignment="1">
      <alignment horizontal="center" vertical="center" wrapText="1"/>
    </xf>
    <xf numFmtId="1" fontId="3" fillId="35" borderId="20" xfId="0" applyNumberFormat="1" applyFont="1" applyFill="1" applyBorder="1" applyAlignment="1">
      <alignment horizontal="center" vertical="center" wrapText="1"/>
    </xf>
    <xf numFmtId="1" fontId="59" fillId="35" borderId="19" xfId="0" applyNumberFormat="1" applyFont="1" applyFill="1" applyBorder="1" applyAlignment="1">
      <alignment horizontal="center" vertical="center" wrapText="1"/>
    </xf>
    <xf numFmtId="1" fontId="59" fillId="35" borderId="20" xfId="0" applyNumberFormat="1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1" fontId="59" fillId="35" borderId="11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" fillId="35" borderId="21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1" fontId="3" fillId="35" borderId="22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left" vertical="center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по сессиям План реализации РО по учреждениям бюджет 2016-18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4973"/>
  <sheetViews>
    <sheetView tabSelected="1" zoomScale="70" zoomScaleNormal="70" zoomScaleSheetLayoutView="100" workbookViewId="0" topLeftCell="A1">
      <pane ySplit="6" topLeftCell="A535" activePane="bottomLeft" state="frozen"/>
      <selection pane="topLeft" activeCell="A1" sqref="A1"/>
      <selection pane="bottomLeft" activeCell="I541" sqref="I541"/>
    </sheetView>
  </sheetViews>
  <sheetFormatPr defaultColWidth="9.33203125" defaultRowHeight="12.75"/>
  <cols>
    <col min="1" max="2" width="4.33203125" style="1" customWidth="1"/>
    <col min="3" max="6" width="4.5" style="1" customWidth="1"/>
    <col min="7" max="7" width="6.33203125" style="1" customWidth="1"/>
    <col min="8" max="8" width="50.16015625" style="1" customWidth="1"/>
    <col min="9" max="9" width="17.66015625" style="1" bestFit="1" customWidth="1"/>
    <col min="10" max="11" width="16.33203125" style="1" customWidth="1"/>
    <col min="12" max="12" width="16.83203125" style="1" customWidth="1"/>
    <col min="13" max="13" width="16.83203125" style="11" customWidth="1"/>
    <col min="14" max="14" width="17.33203125" style="11" customWidth="1"/>
    <col min="15" max="15" width="16.83203125" style="11" hidden="1" customWidth="1"/>
    <col min="16" max="16" width="16.83203125" style="12" customWidth="1"/>
    <col min="17" max="17" width="16.83203125" style="11" hidden="1" customWidth="1"/>
    <col min="18" max="18" width="16.83203125" style="12" customWidth="1"/>
    <col min="19" max="19" width="15.33203125" style="11" hidden="1" customWidth="1"/>
    <col min="20" max="20" width="15.33203125" style="12" customWidth="1"/>
    <col min="21" max="21" width="15.33203125" style="11" hidden="1" customWidth="1"/>
    <col min="22" max="22" width="15.33203125" style="12" customWidth="1"/>
    <col min="23" max="23" width="15" style="1" customWidth="1"/>
    <col min="24" max="24" width="16.16015625" style="13" customWidth="1"/>
    <col min="25" max="28" width="20.5" style="1" hidden="1" customWidth="1"/>
    <col min="29" max="30" width="20.5" style="1" customWidth="1"/>
    <col min="31" max="31" width="16.66015625" style="1" customWidth="1"/>
    <col min="32" max="32" width="9.33203125" style="1" customWidth="1"/>
    <col min="33" max="33" width="14.16015625" style="1" customWidth="1"/>
    <col min="34" max="34" width="12.5" style="1" customWidth="1"/>
    <col min="35" max="35" width="10.83203125" style="1" customWidth="1"/>
    <col min="36" max="16384" width="9.33203125" style="1" customWidth="1"/>
  </cols>
  <sheetData>
    <row r="1" spans="1:24" ht="47.25" customHeight="1">
      <c r="A1" s="14"/>
      <c r="B1" s="14"/>
      <c r="C1" s="14"/>
      <c r="D1" s="14"/>
      <c r="E1" s="14"/>
      <c r="F1" s="14"/>
      <c r="G1" s="15"/>
      <c r="H1" s="16"/>
      <c r="I1" s="49"/>
      <c r="J1" s="50"/>
      <c r="K1" s="51"/>
      <c r="L1" s="51"/>
      <c r="N1" s="52"/>
      <c r="O1" s="52"/>
      <c r="P1" s="53"/>
      <c r="Q1" s="52"/>
      <c r="R1" s="53"/>
      <c r="S1" s="52"/>
      <c r="T1" s="400" t="s">
        <v>0</v>
      </c>
      <c r="U1" s="400"/>
      <c r="V1" s="400"/>
      <c r="W1" s="400"/>
      <c r="X1" s="400"/>
    </row>
    <row r="2" spans="1:24" ht="30" customHeight="1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</row>
    <row r="3" spans="1:24" ht="15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54"/>
      <c r="N3" s="55"/>
      <c r="O3" s="54"/>
      <c r="P3" s="56"/>
      <c r="Q3" s="54"/>
      <c r="R3" s="56"/>
      <c r="S3" s="54"/>
      <c r="T3" s="56"/>
      <c r="U3" s="54"/>
      <c r="V3" s="56"/>
      <c r="W3" s="17"/>
      <c r="X3" s="17"/>
    </row>
    <row r="4" spans="1:24" ht="27" customHeight="1">
      <c r="A4" s="418" t="s">
        <v>3</v>
      </c>
      <c r="B4" s="419"/>
      <c r="C4" s="419"/>
      <c r="D4" s="419"/>
      <c r="E4" s="419"/>
      <c r="F4" s="420"/>
      <c r="G4" s="412" t="s">
        <v>4</v>
      </c>
      <c r="H4" s="414" t="s">
        <v>5</v>
      </c>
      <c r="I4" s="416" t="s">
        <v>6</v>
      </c>
      <c r="J4" s="402" t="s">
        <v>7</v>
      </c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</row>
    <row r="5" spans="1:24" ht="11.25" customHeight="1">
      <c r="A5" s="421"/>
      <c r="B5" s="422"/>
      <c r="C5" s="422"/>
      <c r="D5" s="422"/>
      <c r="E5" s="422"/>
      <c r="F5" s="423"/>
      <c r="G5" s="413"/>
      <c r="H5" s="415"/>
      <c r="I5" s="417"/>
      <c r="J5" s="397">
        <v>2016</v>
      </c>
      <c r="K5" s="397">
        <v>2017</v>
      </c>
      <c r="L5" s="397">
        <v>2018</v>
      </c>
      <c r="M5" s="408">
        <v>2019</v>
      </c>
      <c r="N5" s="408">
        <v>2020</v>
      </c>
      <c r="O5" s="393" t="s">
        <v>8</v>
      </c>
      <c r="P5" s="395">
        <v>2021</v>
      </c>
      <c r="Q5" s="399" t="s">
        <v>9</v>
      </c>
      <c r="R5" s="399">
        <v>2022</v>
      </c>
      <c r="S5" s="391" t="s">
        <v>10</v>
      </c>
      <c r="T5" s="391">
        <v>2023</v>
      </c>
      <c r="U5" s="391" t="s">
        <v>11</v>
      </c>
      <c r="V5" s="391">
        <v>2024</v>
      </c>
      <c r="W5" s="405" t="s">
        <v>12</v>
      </c>
      <c r="X5" s="406" t="s">
        <v>13</v>
      </c>
    </row>
    <row r="6" spans="1:35" ht="102.75">
      <c r="A6" s="19" t="s">
        <v>14</v>
      </c>
      <c r="B6" s="20" t="s">
        <v>15</v>
      </c>
      <c r="C6" s="20" t="s">
        <v>16</v>
      </c>
      <c r="D6" s="20" t="s">
        <v>17</v>
      </c>
      <c r="E6" s="403" t="s">
        <v>18</v>
      </c>
      <c r="F6" s="404"/>
      <c r="G6" s="413"/>
      <c r="H6" s="415"/>
      <c r="I6" s="414"/>
      <c r="J6" s="397"/>
      <c r="K6" s="397"/>
      <c r="L6" s="398"/>
      <c r="M6" s="409"/>
      <c r="N6" s="410"/>
      <c r="O6" s="394"/>
      <c r="P6" s="396"/>
      <c r="Q6" s="392"/>
      <c r="R6" s="392"/>
      <c r="S6" s="392"/>
      <c r="T6" s="392"/>
      <c r="U6" s="392"/>
      <c r="V6" s="392"/>
      <c r="W6" s="406"/>
      <c r="X6" s="407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</row>
    <row r="7" spans="1:36" ht="12.75">
      <c r="A7" s="2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8">
        <v>10</v>
      </c>
      <c r="K7" s="28">
        <v>11</v>
      </c>
      <c r="L7" s="28">
        <v>12</v>
      </c>
      <c r="M7" s="58">
        <v>13</v>
      </c>
      <c r="N7" s="59">
        <v>14</v>
      </c>
      <c r="O7" s="59">
        <v>15</v>
      </c>
      <c r="P7" s="60">
        <v>15</v>
      </c>
      <c r="Q7" s="115">
        <v>16</v>
      </c>
      <c r="R7" s="115">
        <v>16</v>
      </c>
      <c r="S7" s="115">
        <v>17</v>
      </c>
      <c r="T7" s="115">
        <v>17</v>
      </c>
      <c r="U7" s="115">
        <v>18</v>
      </c>
      <c r="V7" s="115">
        <v>18</v>
      </c>
      <c r="W7" s="28">
        <v>19</v>
      </c>
      <c r="X7" s="28">
        <v>20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</row>
    <row r="8" spans="1:36" ht="25.5">
      <c r="A8" s="23" t="s">
        <v>19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/>
      <c r="H8" s="25" t="s">
        <v>20</v>
      </c>
      <c r="I8" s="24" t="s">
        <v>21</v>
      </c>
      <c r="J8" s="61">
        <f>J9+J10+J11</f>
        <v>3145107.8</v>
      </c>
      <c r="K8" s="61">
        <f>K9+K10+K11</f>
        <v>3319816.2</v>
      </c>
      <c r="L8" s="61">
        <f>L9+L10+L11</f>
        <v>3845529.9</v>
      </c>
      <c r="M8" s="62">
        <f>M9+M10+M11</f>
        <v>4423739</v>
      </c>
      <c r="N8" s="62">
        <v>4555737.8</v>
      </c>
      <c r="O8" s="62">
        <v>4773513.3</v>
      </c>
      <c r="P8" s="63">
        <f>P9+P10+P11</f>
        <v>4894935.4</v>
      </c>
      <c r="Q8" s="63">
        <v>4789701.9</v>
      </c>
      <c r="R8" s="63">
        <f>R9+R10+R11</f>
        <v>4772456.6</v>
      </c>
      <c r="S8" s="63">
        <v>4930514.8</v>
      </c>
      <c r="T8" s="63">
        <f>T9+T10+T11</f>
        <v>4930514.8</v>
      </c>
      <c r="U8" s="63">
        <v>4440797.8</v>
      </c>
      <c r="V8" s="63">
        <f>V9+V10+V11</f>
        <v>4440797.8</v>
      </c>
      <c r="W8" s="116">
        <f>J8+K8+L8+M8+N8+P8+R8+T8+V8</f>
        <v>38328635.3</v>
      </c>
      <c r="X8" s="24">
        <v>2024</v>
      </c>
      <c r="Y8" s="140">
        <f aca="true" t="shared" si="0" ref="Y8:Y31">P8-O8</f>
        <v>121422.1</v>
      </c>
      <c r="Z8" s="141">
        <f aca="true" t="shared" si="1" ref="Z8:Z31">R8-Q8</f>
        <v>-17245.3</v>
      </c>
      <c r="AA8" s="140">
        <f aca="true" t="shared" si="2" ref="AA8:AA31">T8-S8</f>
        <v>0</v>
      </c>
      <c r="AB8" s="140">
        <f>V8-U8</f>
        <v>0</v>
      </c>
      <c r="AC8" s="140"/>
      <c r="AD8" s="139"/>
      <c r="AE8" s="140"/>
      <c r="AF8" s="139"/>
      <c r="AG8" s="140"/>
      <c r="AH8" s="140"/>
      <c r="AI8" s="139"/>
      <c r="AJ8" s="139"/>
    </row>
    <row r="9" spans="1:36" ht="12.75">
      <c r="A9" s="21" t="s">
        <v>19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3</v>
      </c>
      <c r="H9" s="26" t="s">
        <v>22</v>
      </c>
      <c r="I9" s="22" t="s">
        <v>21</v>
      </c>
      <c r="J9" s="64">
        <f>J23+J275+J372+J468+J496+J565</f>
        <v>1105715.3</v>
      </c>
      <c r="K9" s="64">
        <f>K23+K275+K372+K468+K496+K565</f>
        <v>1215699.3</v>
      </c>
      <c r="L9" s="64">
        <f>L23+L275+L372+L468+L496+L565</f>
        <v>1390742.1</v>
      </c>
      <c r="M9" s="64">
        <f>M23+M275+M372+M468+M496+M565</f>
        <v>1740753.8</v>
      </c>
      <c r="N9" s="65">
        <v>1619113.9</v>
      </c>
      <c r="O9" s="65">
        <v>1578728.4</v>
      </c>
      <c r="P9" s="66">
        <f>P23+P275+P372+P468+P496+P565</f>
        <v>1646538.5</v>
      </c>
      <c r="Q9" s="66">
        <v>1572418.3</v>
      </c>
      <c r="R9" s="66">
        <f>R23+R275+R372+R468+R496+R565</f>
        <v>1577198.8</v>
      </c>
      <c r="S9" s="66">
        <v>1588243.4</v>
      </c>
      <c r="T9" s="66">
        <f>T23+T275+T372+T468+T496+T565</f>
        <v>1588243.4</v>
      </c>
      <c r="U9" s="66">
        <v>1624879.5</v>
      </c>
      <c r="V9" s="66">
        <f>V23+V275+V372+V468+V496+V565</f>
        <v>1624879.5</v>
      </c>
      <c r="W9" s="117">
        <f>J9+K9+L9+M9+N9+P9+R9+T9+V9</f>
        <v>13508884.6</v>
      </c>
      <c r="X9" s="28">
        <v>2024</v>
      </c>
      <c r="Y9" s="140">
        <f t="shared" si="0"/>
        <v>67810.1</v>
      </c>
      <c r="Z9" s="141">
        <f t="shared" si="1"/>
        <v>4780.5</v>
      </c>
      <c r="AA9" s="140">
        <f t="shared" si="2"/>
        <v>0</v>
      </c>
      <c r="AB9" s="140">
        <f aca="true" t="shared" si="3" ref="AB9:AB31">V9-U9</f>
        <v>0</v>
      </c>
      <c r="AC9" s="139"/>
      <c r="AD9" s="139"/>
      <c r="AE9" s="140"/>
      <c r="AF9" s="139"/>
      <c r="AG9" s="140"/>
      <c r="AH9" s="140"/>
      <c r="AI9" s="139"/>
      <c r="AJ9" s="139"/>
    </row>
    <row r="10" spans="1:36" ht="12.75">
      <c r="A10" s="27" t="s">
        <v>19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2</v>
      </c>
      <c r="H10" s="29" t="s">
        <v>23</v>
      </c>
      <c r="I10" s="28" t="s">
        <v>21</v>
      </c>
      <c r="J10" s="64">
        <f>J24+J276+J373+J469+J497</f>
        <v>2034080</v>
      </c>
      <c r="K10" s="64">
        <f>K24+K276+K373+K469+K497</f>
        <v>2101798.1</v>
      </c>
      <c r="L10" s="64">
        <f>L24+L276+L373+L469+L497+L566</f>
        <v>2454787.8</v>
      </c>
      <c r="M10" s="64">
        <f>M24+M276+M373+M469+M497</f>
        <v>2681520</v>
      </c>
      <c r="N10" s="65">
        <v>2848923.3</v>
      </c>
      <c r="O10" s="65">
        <v>2961395.8</v>
      </c>
      <c r="P10" s="66">
        <f>P24+P276+P373+P469+P497+P566</f>
        <v>3015007.8</v>
      </c>
      <c r="Q10" s="66">
        <v>2979750.7</v>
      </c>
      <c r="R10" s="66">
        <f>R24+R276+R373+R469+R497+R566</f>
        <v>2957724.9</v>
      </c>
      <c r="S10" s="66">
        <v>3104300.2</v>
      </c>
      <c r="T10" s="66">
        <f>T24+T276+T373+T469+T497+T566</f>
        <v>3104300.2</v>
      </c>
      <c r="U10" s="66">
        <v>2815918.3</v>
      </c>
      <c r="V10" s="66">
        <f>V24+V276+V373+V469+V497+V566</f>
        <v>2815918.3</v>
      </c>
      <c r="W10" s="117">
        <f>J10+K10+L10+M10+N10+P10+R10+T10+V10</f>
        <v>24014060.4</v>
      </c>
      <c r="X10" s="28">
        <v>2024</v>
      </c>
      <c r="Y10" s="140">
        <f t="shared" si="0"/>
        <v>53612</v>
      </c>
      <c r="Z10" s="141">
        <f t="shared" si="1"/>
        <v>-22025.8</v>
      </c>
      <c r="AA10" s="140">
        <f t="shared" si="2"/>
        <v>0</v>
      </c>
      <c r="AB10" s="140">
        <f t="shared" si="3"/>
        <v>0</v>
      </c>
      <c r="AC10" s="139"/>
      <c r="AD10" s="139"/>
      <c r="AE10" s="140"/>
      <c r="AF10" s="139"/>
      <c r="AG10" s="140"/>
      <c r="AH10" s="140"/>
      <c r="AI10" s="139"/>
      <c r="AJ10" s="139"/>
    </row>
    <row r="11" spans="1:36" ht="12.75">
      <c r="A11" s="27" t="s">
        <v>19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1</v>
      </c>
      <c r="H11" s="29" t="s">
        <v>24</v>
      </c>
      <c r="I11" s="28" t="s">
        <v>21</v>
      </c>
      <c r="J11" s="64">
        <f>J277+J470</f>
        <v>5312.5</v>
      </c>
      <c r="K11" s="64">
        <f>K277+K470</f>
        <v>2318.8</v>
      </c>
      <c r="L11" s="64">
        <f>L277+L470</f>
        <v>0</v>
      </c>
      <c r="M11" s="64">
        <f>M277+M470</f>
        <v>1465.2</v>
      </c>
      <c r="N11" s="65">
        <v>87700.6</v>
      </c>
      <c r="O11" s="65">
        <v>233389.1</v>
      </c>
      <c r="P11" s="66">
        <f>P25</f>
        <v>233389.1</v>
      </c>
      <c r="Q11" s="66">
        <v>237532.9</v>
      </c>
      <c r="R11" s="66">
        <f>R25</f>
        <v>237532.9</v>
      </c>
      <c r="S11" s="66">
        <v>237971.2</v>
      </c>
      <c r="T11" s="66">
        <f>T25</f>
        <v>237971.2</v>
      </c>
      <c r="U11" s="66">
        <v>0</v>
      </c>
      <c r="V11" s="66">
        <f>V470</f>
        <v>0</v>
      </c>
      <c r="W11" s="117">
        <f>J11+K11+L11+M11+N11+P11+R11+T11+V11</f>
        <v>805690.3</v>
      </c>
      <c r="X11" s="28">
        <v>2023</v>
      </c>
      <c r="Y11" s="140">
        <f t="shared" si="0"/>
        <v>0</v>
      </c>
      <c r="Z11" s="141">
        <f t="shared" si="1"/>
        <v>0</v>
      </c>
      <c r="AA11" s="140">
        <f t="shared" si="2"/>
        <v>0</v>
      </c>
      <c r="AB11" s="140">
        <f t="shared" si="3"/>
        <v>0</v>
      </c>
      <c r="AC11" s="139"/>
      <c r="AD11" s="139"/>
      <c r="AE11" s="142"/>
      <c r="AF11" s="143"/>
      <c r="AG11" s="142"/>
      <c r="AH11" s="142"/>
      <c r="AI11" s="139"/>
      <c r="AJ11" s="139"/>
    </row>
    <row r="12" spans="1:36" ht="51">
      <c r="A12" s="27" t="s">
        <v>19</v>
      </c>
      <c r="B12" s="28">
        <v>1</v>
      </c>
      <c r="C12" s="28">
        <v>0</v>
      </c>
      <c r="D12" s="28">
        <v>0</v>
      </c>
      <c r="E12" s="28">
        <v>0</v>
      </c>
      <c r="F12" s="28">
        <v>0</v>
      </c>
      <c r="G12" s="30"/>
      <c r="H12" s="31" t="s">
        <v>25</v>
      </c>
      <c r="I12" s="30"/>
      <c r="J12" s="30" t="s">
        <v>26</v>
      </c>
      <c r="K12" s="30"/>
      <c r="L12" s="30"/>
      <c r="M12" s="67"/>
      <c r="N12" s="68"/>
      <c r="O12" s="68"/>
      <c r="P12" s="69"/>
      <c r="Q12" s="67"/>
      <c r="R12" s="118"/>
      <c r="S12" s="67"/>
      <c r="T12" s="118"/>
      <c r="U12" s="67"/>
      <c r="V12" s="118"/>
      <c r="W12" s="30"/>
      <c r="X12" s="30">
        <v>2024</v>
      </c>
      <c r="Y12" s="140">
        <f t="shared" si="0"/>
        <v>0</v>
      </c>
      <c r="Z12" s="141">
        <f t="shared" si="1"/>
        <v>0</v>
      </c>
      <c r="AA12" s="140">
        <f t="shared" si="2"/>
        <v>0</v>
      </c>
      <c r="AB12" s="140">
        <f t="shared" si="3"/>
        <v>0</v>
      </c>
      <c r="AC12" s="139"/>
      <c r="AD12" s="139"/>
      <c r="AE12" s="140"/>
      <c r="AF12" s="139"/>
      <c r="AG12" s="139"/>
      <c r="AH12" s="139"/>
      <c r="AI12" s="139"/>
      <c r="AJ12" s="139"/>
    </row>
    <row r="13" spans="1:36" ht="38.25">
      <c r="A13" s="27" t="s">
        <v>19</v>
      </c>
      <c r="B13" s="28">
        <v>1</v>
      </c>
      <c r="C13" s="28">
        <v>0</v>
      </c>
      <c r="D13" s="28">
        <v>0</v>
      </c>
      <c r="E13" s="28">
        <v>0</v>
      </c>
      <c r="F13" s="28">
        <v>0</v>
      </c>
      <c r="G13" s="30"/>
      <c r="H13" s="32" t="s">
        <v>27</v>
      </c>
      <c r="I13" s="30" t="s">
        <v>28</v>
      </c>
      <c r="J13" s="70">
        <v>100</v>
      </c>
      <c r="K13" s="70">
        <v>100</v>
      </c>
      <c r="L13" s="70">
        <v>100</v>
      </c>
      <c r="M13" s="71">
        <v>100</v>
      </c>
      <c r="N13" s="72">
        <v>100</v>
      </c>
      <c r="O13" s="72">
        <v>100</v>
      </c>
      <c r="P13" s="73">
        <v>100</v>
      </c>
      <c r="Q13" s="119">
        <v>100</v>
      </c>
      <c r="R13" s="119">
        <v>100</v>
      </c>
      <c r="S13" s="119">
        <v>100</v>
      </c>
      <c r="T13" s="119">
        <v>100</v>
      </c>
      <c r="U13" s="119">
        <v>100</v>
      </c>
      <c r="V13" s="119">
        <v>100</v>
      </c>
      <c r="W13" s="70">
        <v>100</v>
      </c>
      <c r="X13" s="30">
        <v>2024</v>
      </c>
      <c r="Y13" s="140">
        <f t="shared" si="0"/>
        <v>0</v>
      </c>
      <c r="Z13" s="141">
        <f t="shared" si="1"/>
        <v>0</v>
      </c>
      <c r="AA13" s="140">
        <f t="shared" si="2"/>
        <v>0</v>
      </c>
      <c r="AB13" s="140">
        <f t="shared" si="3"/>
        <v>0</v>
      </c>
      <c r="AC13" s="139"/>
      <c r="AD13" s="139"/>
      <c r="AE13" s="140"/>
      <c r="AF13" s="139"/>
      <c r="AG13" s="139"/>
      <c r="AH13" s="139"/>
      <c r="AI13" s="139"/>
      <c r="AJ13" s="139"/>
    </row>
    <row r="14" spans="1:36" ht="25.5">
      <c r="A14" s="27" t="s">
        <v>19</v>
      </c>
      <c r="B14" s="28">
        <v>1</v>
      </c>
      <c r="C14" s="28">
        <v>0</v>
      </c>
      <c r="D14" s="28">
        <v>0</v>
      </c>
      <c r="E14" s="28">
        <v>0</v>
      </c>
      <c r="F14" s="28">
        <v>0</v>
      </c>
      <c r="G14" s="30"/>
      <c r="H14" s="32" t="s">
        <v>29</v>
      </c>
      <c r="I14" s="30" t="s">
        <v>28</v>
      </c>
      <c r="J14" s="30">
        <v>93.6</v>
      </c>
      <c r="K14" s="30">
        <v>96.6</v>
      </c>
      <c r="L14" s="70">
        <v>99.1</v>
      </c>
      <c r="M14" s="72">
        <v>99.9</v>
      </c>
      <c r="N14" s="72">
        <v>100</v>
      </c>
      <c r="O14" s="68">
        <v>99.6</v>
      </c>
      <c r="P14" s="74">
        <v>99.6</v>
      </c>
      <c r="Q14" s="74">
        <v>99.7</v>
      </c>
      <c r="R14" s="74">
        <v>99.7</v>
      </c>
      <c r="S14" s="74">
        <v>99.8</v>
      </c>
      <c r="T14" s="74">
        <v>99.8</v>
      </c>
      <c r="U14" s="74">
        <v>99.8</v>
      </c>
      <c r="V14" s="74">
        <v>99.8</v>
      </c>
      <c r="W14" s="120">
        <v>99.8</v>
      </c>
      <c r="X14" s="30">
        <v>2024</v>
      </c>
      <c r="Y14" s="140">
        <f t="shared" si="0"/>
        <v>0</v>
      </c>
      <c r="Z14" s="141">
        <f t="shared" si="1"/>
        <v>0</v>
      </c>
      <c r="AA14" s="140">
        <f t="shared" si="2"/>
        <v>0</v>
      </c>
      <c r="AB14" s="140">
        <f t="shared" si="3"/>
        <v>0</v>
      </c>
      <c r="AC14" s="139"/>
      <c r="AD14" s="139"/>
      <c r="AE14" s="140"/>
      <c r="AF14" s="139"/>
      <c r="AG14" s="139"/>
      <c r="AH14" s="139"/>
      <c r="AI14" s="139"/>
      <c r="AJ14" s="139"/>
    </row>
    <row r="15" spans="1:36" ht="57.75" customHeight="1">
      <c r="A15" s="27" t="s">
        <v>19</v>
      </c>
      <c r="B15" s="28">
        <v>1</v>
      </c>
      <c r="C15" s="28">
        <v>0</v>
      </c>
      <c r="D15" s="28">
        <v>0</v>
      </c>
      <c r="E15" s="28">
        <v>0</v>
      </c>
      <c r="F15" s="28">
        <v>0</v>
      </c>
      <c r="G15" s="30"/>
      <c r="H15" s="32" t="s">
        <v>30</v>
      </c>
      <c r="I15" s="30" t="s">
        <v>28</v>
      </c>
      <c r="J15" s="70">
        <v>65</v>
      </c>
      <c r="K15" s="70">
        <v>68.6</v>
      </c>
      <c r="L15" s="70">
        <v>70</v>
      </c>
      <c r="M15" s="71">
        <v>72</v>
      </c>
      <c r="N15" s="72">
        <v>70</v>
      </c>
      <c r="O15" s="72">
        <v>72</v>
      </c>
      <c r="P15" s="75">
        <v>75</v>
      </c>
      <c r="Q15" s="72">
        <v>75</v>
      </c>
      <c r="R15" s="75">
        <v>77</v>
      </c>
      <c r="S15" s="72">
        <v>77</v>
      </c>
      <c r="T15" s="75">
        <v>78</v>
      </c>
      <c r="U15" s="72">
        <v>80</v>
      </c>
      <c r="V15" s="86">
        <v>80</v>
      </c>
      <c r="W15" s="120">
        <v>80</v>
      </c>
      <c r="X15" s="30">
        <v>2024</v>
      </c>
      <c r="Y15" s="140">
        <f t="shared" si="0"/>
        <v>3</v>
      </c>
      <c r="Z15" s="141">
        <f t="shared" si="1"/>
        <v>2</v>
      </c>
      <c r="AA15" s="140">
        <f t="shared" si="2"/>
        <v>1</v>
      </c>
      <c r="AB15" s="140">
        <f t="shared" si="3"/>
        <v>0</v>
      </c>
      <c r="AC15" s="139"/>
      <c r="AD15" s="139"/>
      <c r="AE15" s="140"/>
      <c r="AF15" s="139"/>
      <c r="AG15" s="139"/>
      <c r="AH15" s="139"/>
      <c r="AI15" s="139"/>
      <c r="AJ15" s="139"/>
    </row>
    <row r="16" spans="1:36" ht="63.75">
      <c r="A16" s="27" t="s">
        <v>19</v>
      </c>
      <c r="B16" s="28">
        <v>1</v>
      </c>
      <c r="C16" s="28">
        <v>0</v>
      </c>
      <c r="D16" s="28">
        <v>0</v>
      </c>
      <c r="E16" s="28">
        <v>0</v>
      </c>
      <c r="F16" s="28">
        <v>0</v>
      </c>
      <c r="G16" s="30"/>
      <c r="H16" s="32" t="s">
        <v>31</v>
      </c>
      <c r="I16" s="30" t="s">
        <v>28</v>
      </c>
      <c r="J16" s="70">
        <v>95</v>
      </c>
      <c r="K16" s="70">
        <v>96</v>
      </c>
      <c r="L16" s="70">
        <v>97</v>
      </c>
      <c r="M16" s="71">
        <v>97</v>
      </c>
      <c r="N16" s="72">
        <v>97</v>
      </c>
      <c r="O16" s="72">
        <v>97.1</v>
      </c>
      <c r="P16" s="73">
        <v>97.1</v>
      </c>
      <c r="Q16" s="73">
        <v>97.2</v>
      </c>
      <c r="R16" s="73">
        <v>97.2</v>
      </c>
      <c r="S16" s="73">
        <v>97.2</v>
      </c>
      <c r="T16" s="73">
        <v>97.2</v>
      </c>
      <c r="U16" s="73">
        <v>97.2</v>
      </c>
      <c r="V16" s="73">
        <v>97.2</v>
      </c>
      <c r="W16" s="72">
        <v>97.2</v>
      </c>
      <c r="X16" s="30">
        <v>2024</v>
      </c>
      <c r="Y16" s="140">
        <f t="shared" si="0"/>
        <v>0</v>
      </c>
      <c r="Z16" s="141">
        <f t="shared" si="1"/>
        <v>0</v>
      </c>
      <c r="AA16" s="140">
        <f t="shared" si="2"/>
        <v>0</v>
      </c>
      <c r="AB16" s="140">
        <f t="shared" si="3"/>
        <v>0</v>
      </c>
      <c r="AC16" s="139"/>
      <c r="AD16" s="139"/>
      <c r="AE16" s="139"/>
      <c r="AF16" s="139"/>
      <c r="AG16" s="139"/>
      <c r="AH16" s="139"/>
      <c r="AI16" s="139"/>
      <c r="AJ16" s="139"/>
    </row>
    <row r="17" spans="1:36" ht="76.5">
      <c r="A17" s="27" t="s">
        <v>19</v>
      </c>
      <c r="B17" s="28">
        <v>1</v>
      </c>
      <c r="C17" s="28">
        <v>0</v>
      </c>
      <c r="D17" s="28">
        <v>0</v>
      </c>
      <c r="E17" s="28">
        <v>0</v>
      </c>
      <c r="F17" s="28">
        <v>0</v>
      </c>
      <c r="G17" s="30"/>
      <c r="H17" s="32" t="s">
        <v>32</v>
      </c>
      <c r="I17" s="30" t="s">
        <v>28</v>
      </c>
      <c r="J17" s="76">
        <v>31</v>
      </c>
      <c r="K17" s="76">
        <v>32.1</v>
      </c>
      <c r="L17" s="76">
        <v>28.4</v>
      </c>
      <c r="M17" s="77">
        <v>28.8</v>
      </c>
      <c r="N17" s="77">
        <v>29.7</v>
      </c>
      <c r="O17" s="77">
        <v>29.7</v>
      </c>
      <c r="P17" s="78">
        <v>29.7</v>
      </c>
      <c r="Q17" s="78">
        <v>29.7</v>
      </c>
      <c r="R17" s="78">
        <v>29.7</v>
      </c>
      <c r="S17" s="78">
        <v>29.7</v>
      </c>
      <c r="T17" s="78">
        <v>29.7</v>
      </c>
      <c r="U17" s="78">
        <v>29.7</v>
      </c>
      <c r="V17" s="78">
        <v>29.7</v>
      </c>
      <c r="W17" s="77">
        <v>28.4</v>
      </c>
      <c r="X17" s="30">
        <v>2024</v>
      </c>
      <c r="Y17" s="140">
        <f t="shared" si="0"/>
        <v>0</v>
      </c>
      <c r="Z17" s="141">
        <f t="shared" si="1"/>
        <v>0</v>
      </c>
      <c r="AA17" s="140">
        <f t="shared" si="2"/>
        <v>0</v>
      </c>
      <c r="AB17" s="140">
        <f t="shared" si="3"/>
        <v>0</v>
      </c>
      <c r="AC17" s="139"/>
      <c r="AD17" s="139"/>
      <c r="AE17" s="139"/>
      <c r="AF17" s="139"/>
      <c r="AG17" s="139"/>
      <c r="AH17" s="139"/>
      <c r="AI17" s="139"/>
      <c r="AJ17" s="139"/>
    </row>
    <row r="18" spans="1:28" ht="76.5">
      <c r="A18" s="27" t="s">
        <v>19</v>
      </c>
      <c r="B18" s="28">
        <v>1</v>
      </c>
      <c r="C18" s="28">
        <v>0</v>
      </c>
      <c r="D18" s="28">
        <v>0</v>
      </c>
      <c r="E18" s="28">
        <v>0</v>
      </c>
      <c r="F18" s="28">
        <v>0</v>
      </c>
      <c r="G18" s="30"/>
      <c r="H18" s="32" t="s">
        <v>33</v>
      </c>
      <c r="I18" s="30" t="s">
        <v>28</v>
      </c>
      <c r="J18" s="70">
        <v>99</v>
      </c>
      <c r="K18" s="70">
        <v>99</v>
      </c>
      <c r="L18" s="70">
        <v>100</v>
      </c>
      <c r="M18" s="71">
        <v>100</v>
      </c>
      <c r="N18" s="72">
        <v>100</v>
      </c>
      <c r="O18" s="72">
        <v>100</v>
      </c>
      <c r="P18" s="79">
        <v>100</v>
      </c>
      <c r="Q18" s="71">
        <v>100</v>
      </c>
      <c r="R18" s="121">
        <v>100</v>
      </c>
      <c r="S18" s="71">
        <v>100</v>
      </c>
      <c r="T18" s="121">
        <v>100</v>
      </c>
      <c r="U18" s="71">
        <v>100</v>
      </c>
      <c r="V18" s="121">
        <v>100</v>
      </c>
      <c r="W18" s="71">
        <v>100</v>
      </c>
      <c r="X18" s="30">
        <v>2024</v>
      </c>
      <c r="Y18" s="140">
        <f t="shared" si="0"/>
        <v>0</v>
      </c>
      <c r="Z18" s="141">
        <f t="shared" si="1"/>
        <v>0</v>
      </c>
      <c r="AA18" s="140">
        <f t="shared" si="2"/>
        <v>0</v>
      </c>
      <c r="AB18" s="140">
        <f t="shared" si="3"/>
        <v>0</v>
      </c>
    </row>
    <row r="19" spans="1:28" ht="51">
      <c r="A19" s="27" t="s">
        <v>19</v>
      </c>
      <c r="B19" s="28">
        <v>1</v>
      </c>
      <c r="C19" s="28">
        <v>0</v>
      </c>
      <c r="D19" s="28">
        <v>0</v>
      </c>
      <c r="E19" s="28">
        <v>0</v>
      </c>
      <c r="F19" s="28">
        <v>0</v>
      </c>
      <c r="G19" s="30"/>
      <c r="H19" s="32" t="s">
        <v>34</v>
      </c>
      <c r="I19" s="30" t="s">
        <v>28</v>
      </c>
      <c r="J19" s="70">
        <v>100</v>
      </c>
      <c r="K19" s="70">
        <v>100</v>
      </c>
      <c r="L19" s="70">
        <v>100</v>
      </c>
      <c r="M19" s="71">
        <v>100</v>
      </c>
      <c r="N19" s="72">
        <v>100</v>
      </c>
      <c r="O19" s="72">
        <v>100</v>
      </c>
      <c r="P19" s="73">
        <v>100</v>
      </c>
      <c r="Q19" s="119">
        <v>100</v>
      </c>
      <c r="R19" s="119">
        <v>100</v>
      </c>
      <c r="S19" s="119">
        <v>100</v>
      </c>
      <c r="T19" s="119">
        <v>100</v>
      </c>
      <c r="U19" s="119">
        <v>100</v>
      </c>
      <c r="V19" s="119">
        <v>100</v>
      </c>
      <c r="W19" s="70">
        <f>(J19+K19+L19+M19+N19+P19+R19+T19+V19)/9</f>
        <v>100</v>
      </c>
      <c r="X19" s="30">
        <v>2024</v>
      </c>
      <c r="Y19" s="140">
        <f t="shared" si="0"/>
        <v>0</v>
      </c>
      <c r="Z19" s="141">
        <f t="shared" si="1"/>
        <v>0</v>
      </c>
      <c r="AA19" s="140">
        <f t="shared" si="2"/>
        <v>0</v>
      </c>
      <c r="AB19" s="140">
        <f t="shared" si="3"/>
        <v>0</v>
      </c>
    </row>
    <row r="20" spans="1:28" ht="51">
      <c r="A20" s="27" t="s">
        <v>19</v>
      </c>
      <c r="B20" s="28">
        <v>1</v>
      </c>
      <c r="C20" s="28">
        <v>0</v>
      </c>
      <c r="D20" s="28">
        <v>0</v>
      </c>
      <c r="E20" s="28">
        <v>0</v>
      </c>
      <c r="F20" s="28">
        <v>0</v>
      </c>
      <c r="G20" s="30"/>
      <c r="H20" s="32" t="s">
        <v>35</v>
      </c>
      <c r="I20" s="30" t="s">
        <v>28</v>
      </c>
      <c r="J20" s="70">
        <v>0</v>
      </c>
      <c r="K20" s="70">
        <v>0</v>
      </c>
      <c r="L20" s="70">
        <v>0</v>
      </c>
      <c r="M20" s="71">
        <v>58.4</v>
      </c>
      <c r="N20" s="72">
        <v>63.3</v>
      </c>
      <c r="O20" s="72">
        <v>63.5</v>
      </c>
      <c r="P20" s="73">
        <v>63.5</v>
      </c>
      <c r="Q20" s="73">
        <v>63.7</v>
      </c>
      <c r="R20" s="73">
        <v>63.7</v>
      </c>
      <c r="S20" s="73">
        <v>63.9</v>
      </c>
      <c r="T20" s="73">
        <v>63.9</v>
      </c>
      <c r="U20" s="73">
        <v>64.3</v>
      </c>
      <c r="V20" s="73">
        <v>64.3</v>
      </c>
      <c r="W20" s="70">
        <v>64.3</v>
      </c>
      <c r="X20" s="30">
        <v>2024</v>
      </c>
      <c r="Y20" s="140">
        <f t="shared" si="0"/>
        <v>0</v>
      </c>
      <c r="Z20" s="141">
        <f t="shared" si="1"/>
        <v>0</v>
      </c>
      <c r="AA20" s="140">
        <f t="shared" si="2"/>
        <v>0</v>
      </c>
      <c r="AB20" s="140">
        <f t="shared" si="3"/>
        <v>0</v>
      </c>
    </row>
    <row r="21" spans="1:28" ht="38.25">
      <c r="A21" s="27" t="s">
        <v>19</v>
      </c>
      <c r="B21" s="28">
        <v>1</v>
      </c>
      <c r="C21" s="28">
        <v>0</v>
      </c>
      <c r="D21" s="28">
        <v>0</v>
      </c>
      <c r="E21" s="28">
        <v>0</v>
      </c>
      <c r="F21" s="28">
        <v>0</v>
      </c>
      <c r="G21" s="30"/>
      <c r="H21" s="32" t="s">
        <v>36</v>
      </c>
      <c r="I21" s="30" t="s">
        <v>28</v>
      </c>
      <c r="J21" s="70">
        <v>0</v>
      </c>
      <c r="K21" s="70">
        <v>0</v>
      </c>
      <c r="L21" s="70">
        <v>0</v>
      </c>
      <c r="M21" s="71">
        <v>0</v>
      </c>
      <c r="N21" s="72">
        <v>70</v>
      </c>
      <c r="O21" s="72">
        <v>72</v>
      </c>
      <c r="P21" s="75">
        <v>75</v>
      </c>
      <c r="Q21" s="72">
        <v>75</v>
      </c>
      <c r="R21" s="75">
        <v>77</v>
      </c>
      <c r="S21" s="72">
        <v>77</v>
      </c>
      <c r="T21" s="75">
        <v>78</v>
      </c>
      <c r="U21" s="72">
        <v>80</v>
      </c>
      <c r="V21" s="86">
        <v>80</v>
      </c>
      <c r="W21" s="70">
        <v>80</v>
      </c>
      <c r="X21" s="30">
        <v>2024</v>
      </c>
      <c r="Y21" s="140">
        <f t="shared" si="0"/>
        <v>3</v>
      </c>
      <c r="Z21" s="141">
        <f t="shared" si="1"/>
        <v>2</v>
      </c>
      <c r="AA21" s="140">
        <f t="shared" si="2"/>
        <v>1</v>
      </c>
      <c r="AB21" s="140">
        <f t="shared" si="3"/>
        <v>0</v>
      </c>
    </row>
    <row r="22" spans="1:28" ht="25.5">
      <c r="A22" s="23" t="s">
        <v>19</v>
      </c>
      <c r="B22" s="24">
        <v>1</v>
      </c>
      <c r="C22" s="24">
        <v>1</v>
      </c>
      <c r="D22" s="24">
        <v>0</v>
      </c>
      <c r="E22" s="24">
        <v>0</v>
      </c>
      <c r="F22" s="24">
        <v>0</v>
      </c>
      <c r="G22" s="24"/>
      <c r="H22" s="25" t="s">
        <v>37</v>
      </c>
      <c r="I22" s="24" t="s">
        <v>21</v>
      </c>
      <c r="J22" s="61">
        <f>J23+J24</f>
        <v>2891748.5</v>
      </c>
      <c r="K22" s="61">
        <f>K23+K24</f>
        <v>2985052</v>
      </c>
      <c r="L22" s="61">
        <f>L23+L24</f>
        <v>3449946.6</v>
      </c>
      <c r="M22" s="62">
        <f>M23+M24</f>
        <v>3913317.2</v>
      </c>
      <c r="N22" s="63">
        <v>4139478.7</v>
      </c>
      <c r="O22" s="63">
        <v>4381989.6</v>
      </c>
      <c r="P22" s="63">
        <f>P23+P24+P25</f>
        <v>4462178.4</v>
      </c>
      <c r="Q22" s="63">
        <v>4439643.4</v>
      </c>
      <c r="R22" s="63">
        <f>R23+R24+R25</f>
        <v>4417617.6</v>
      </c>
      <c r="S22" s="63">
        <v>4564624.8</v>
      </c>
      <c r="T22" s="63">
        <f>T23+T24+T25</f>
        <v>4564624.8</v>
      </c>
      <c r="U22" s="63">
        <v>4127566.7</v>
      </c>
      <c r="V22" s="63">
        <f>V23+V24</f>
        <v>4127566.7</v>
      </c>
      <c r="W22" s="61">
        <f aca="true" t="shared" si="4" ref="W22:W28">J22+K22+L22+M22+N22+P22+R22+T22+V22</f>
        <v>34951530.5</v>
      </c>
      <c r="X22" s="24">
        <v>2024</v>
      </c>
      <c r="Y22" s="140">
        <f t="shared" si="0"/>
        <v>80188.8</v>
      </c>
      <c r="Z22" s="141">
        <f t="shared" si="1"/>
        <v>-22025.8</v>
      </c>
      <c r="AA22" s="140">
        <f t="shared" si="2"/>
        <v>0</v>
      </c>
      <c r="AB22" s="140">
        <f t="shared" si="3"/>
        <v>0</v>
      </c>
    </row>
    <row r="23" spans="1:28" ht="12.75">
      <c r="A23" s="21" t="s">
        <v>19</v>
      </c>
      <c r="B23" s="22">
        <v>1</v>
      </c>
      <c r="C23" s="22">
        <v>1</v>
      </c>
      <c r="D23" s="22">
        <v>0</v>
      </c>
      <c r="E23" s="22">
        <v>0</v>
      </c>
      <c r="F23" s="22">
        <v>0</v>
      </c>
      <c r="G23" s="22">
        <v>3</v>
      </c>
      <c r="H23" s="26" t="s">
        <v>22</v>
      </c>
      <c r="I23" s="43" t="s">
        <v>21</v>
      </c>
      <c r="J23" s="70">
        <f>J27+J71+J112+J150+J176+J198+J226+J242+J257</f>
        <v>866708.9</v>
      </c>
      <c r="K23" s="70">
        <f>K27+K71+K112+K150+K176+K198+K226+K242+K257</f>
        <v>886863.5</v>
      </c>
      <c r="L23" s="70">
        <f>L27+L71+L112+L150+L176+L198+L226+L242+L257</f>
        <v>1003124.7</v>
      </c>
      <c r="M23" s="71">
        <f>M27+M71+M112+M150+M176+M198+M226+M242+M257</f>
        <v>1252041.4</v>
      </c>
      <c r="N23" s="80">
        <v>1233657.8</v>
      </c>
      <c r="O23" s="80">
        <v>1213323.8</v>
      </c>
      <c r="P23" s="80">
        <f>P27+P71+P112+P150+P176+P198+P226+P242+P257</f>
        <v>1241090.9</v>
      </c>
      <c r="Q23" s="80">
        <v>1223549.3</v>
      </c>
      <c r="R23" s="80">
        <f>R27+R71+R112+R150+R176+R198+R226+R242+R257</f>
        <v>1223549.3</v>
      </c>
      <c r="S23" s="80">
        <v>1223590.6</v>
      </c>
      <c r="T23" s="80">
        <f>T27+T71+T112+T150+T176+T198+T226+T242+T257</f>
        <v>1223590.6</v>
      </c>
      <c r="U23" s="80">
        <v>1312571.7</v>
      </c>
      <c r="V23" s="80">
        <f>V27+V71+V112+V150+V176+V198+V226+V242+V257</f>
        <v>1312571.7</v>
      </c>
      <c r="W23" s="64">
        <f t="shared" si="4"/>
        <v>10243198.8</v>
      </c>
      <c r="X23" s="30">
        <v>2024</v>
      </c>
      <c r="Y23" s="140">
        <f t="shared" si="0"/>
        <v>27767.1</v>
      </c>
      <c r="Z23" s="141">
        <f t="shared" si="1"/>
        <v>0</v>
      </c>
      <c r="AA23" s="140">
        <f t="shared" si="2"/>
        <v>0</v>
      </c>
      <c r="AB23" s="140">
        <f t="shared" si="3"/>
        <v>0</v>
      </c>
    </row>
    <row r="24" spans="1:28" ht="12.75">
      <c r="A24" s="21" t="s">
        <v>19</v>
      </c>
      <c r="B24" s="22">
        <v>1</v>
      </c>
      <c r="C24" s="22">
        <v>1</v>
      </c>
      <c r="D24" s="22">
        <v>0</v>
      </c>
      <c r="E24" s="22">
        <v>0</v>
      </c>
      <c r="F24" s="22">
        <v>0</v>
      </c>
      <c r="G24" s="22">
        <v>2</v>
      </c>
      <c r="H24" s="26" t="s">
        <v>23</v>
      </c>
      <c r="I24" s="43" t="s">
        <v>21</v>
      </c>
      <c r="J24" s="70">
        <f>J28+J72+J113+J227+J243+J258</f>
        <v>2025039.6</v>
      </c>
      <c r="K24" s="70">
        <f>K28+K72+K113+K227+K243+K258</f>
        <v>2098188.5</v>
      </c>
      <c r="L24" s="70">
        <f>L28+L72+L113+L227+L243+L258</f>
        <v>2446821.9</v>
      </c>
      <c r="M24" s="71">
        <f>M28+M72+M113+M227+M243</f>
        <v>2661275.8</v>
      </c>
      <c r="N24" s="80">
        <v>2818120.3</v>
      </c>
      <c r="O24" s="80">
        <v>2935276.7</v>
      </c>
      <c r="P24" s="80">
        <f>P28+P72+P113+P227+P243+P258+P151+P199</f>
        <v>2987698.4</v>
      </c>
      <c r="Q24" s="80">
        <v>2978561.2</v>
      </c>
      <c r="R24" s="80">
        <f>R28+R72+R113+R227+R243</f>
        <v>2956535.4</v>
      </c>
      <c r="S24" s="80">
        <v>3103063</v>
      </c>
      <c r="T24" s="80">
        <f>T28+T72+T113+T227+T243</f>
        <v>3103063</v>
      </c>
      <c r="U24" s="80">
        <v>2814995</v>
      </c>
      <c r="V24" s="80">
        <f>V28+V72+V113+V227+V243</f>
        <v>2814995</v>
      </c>
      <c r="W24" s="64">
        <f t="shared" si="4"/>
        <v>23911737.9</v>
      </c>
      <c r="X24" s="30">
        <v>2024</v>
      </c>
      <c r="Y24" s="140">
        <f t="shared" si="0"/>
        <v>52421.7</v>
      </c>
      <c r="Z24" s="141">
        <f t="shared" si="1"/>
        <v>-22025.8</v>
      </c>
      <c r="AA24" s="140">
        <f t="shared" si="2"/>
        <v>0</v>
      </c>
      <c r="AB24" s="140">
        <f t="shared" si="3"/>
        <v>0</v>
      </c>
    </row>
    <row r="25" spans="1:28" ht="12.75">
      <c r="A25" s="18"/>
      <c r="B25" s="22"/>
      <c r="C25" s="22"/>
      <c r="D25" s="22"/>
      <c r="E25" s="22"/>
      <c r="F25" s="22"/>
      <c r="G25" s="22">
        <v>1</v>
      </c>
      <c r="H25" s="26" t="s">
        <v>24</v>
      </c>
      <c r="I25" s="43"/>
      <c r="J25" s="71">
        <f aca="true" t="shared" si="5" ref="J25:P25">J73</f>
        <v>0</v>
      </c>
      <c r="K25" s="71">
        <f t="shared" si="5"/>
        <v>0</v>
      </c>
      <c r="L25" s="71">
        <f t="shared" si="5"/>
        <v>0</v>
      </c>
      <c r="M25" s="71">
        <f t="shared" si="5"/>
        <v>0</v>
      </c>
      <c r="N25" s="80">
        <v>87700.6</v>
      </c>
      <c r="O25" s="80">
        <v>233389.1</v>
      </c>
      <c r="P25" s="80">
        <f t="shared" si="5"/>
        <v>233389.1</v>
      </c>
      <c r="Q25" s="80">
        <v>237532.9</v>
      </c>
      <c r="R25" s="80">
        <f>R73</f>
        <v>237532.9</v>
      </c>
      <c r="S25" s="80">
        <v>237971.2</v>
      </c>
      <c r="T25" s="80">
        <f>T73</f>
        <v>237971.2</v>
      </c>
      <c r="U25" s="80">
        <v>0</v>
      </c>
      <c r="V25" s="80">
        <f>V73</f>
        <v>0</v>
      </c>
      <c r="W25" s="64">
        <f t="shared" si="4"/>
        <v>796593.8</v>
      </c>
      <c r="X25" s="30">
        <v>2023</v>
      </c>
      <c r="Y25" s="140">
        <f t="shared" si="0"/>
        <v>0</v>
      </c>
      <c r="Z25" s="141">
        <f t="shared" si="1"/>
        <v>0</v>
      </c>
      <c r="AA25" s="140">
        <f t="shared" si="2"/>
        <v>0</v>
      </c>
      <c r="AB25" s="140">
        <f t="shared" si="3"/>
        <v>0</v>
      </c>
    </row>
    <row r="26" spans="1:28" ht="25.5">
      <c r="A26" s="33" t="s">
        <v>19</v>
      </c>
      <c r="B26" s="34">
        <v>1</v>
      </c>
      <c r="C26" s="34">
        <v>1</v>
      </c>
      <c r="D26" s="34">
        <v>1</v>
      </c>
      <c r="E26" s="34">
        <v>0</v>
      </c>
      <c r="F26" s="34">
        <v>0</v>
      </c>
      <c r="G26" s="34"/>
      <c r="H26" s="35" t="s">
        <v>38</v>
      </c>
      <c r="I26" s="34" t="s">
        <v>21</v>
      </c>
      <c r="J26" s="81">
        <f>J28+J27</f>
        <v>1401555.1</v>
      </c>
      <c r="K26" s="81">
        <f>K28+K27</f>
        <v>1483448.3</v>
      </c>
      <c r="L26" s="81">
        <f>L28+L27</f>
        <v>1743128</v>
      </c>
      <c r="M26" s="82">
        <f>M27+M28</f>
        <v>1953089.9</v>
      </c>
      <c r="N26" s="82">
        <v>2011519.9</v>
      </c>
      <c r="O26" s="82">
        <v>2019551.6</v>
      </c>
      <c r="P26" s="83">
        <f>P27+P28</f>
        <v>2117315.8</v>
      </c>
      <c r="Q26" s="122">
        <v>2019673.7</v>
      </c>
      <c r="R26" s="83">
        <f>R27+R28</f>
        <v>1997647.9</v>
      </c>
      <c r="S26" s="122">
        <v>2073673.2</v>
      </c>
      <c r="T26" s="122">
        <f>T27+T28</f>
        <v>2073673.2</v>
      </c>
      <c r="U26" s="122">
        <v>2025196.8</v>
      </c>
      <c r="V26" s="122">
        <f>V27+V28</f>
        <v>2025196.8</v>
      </c>
      <c r="W26" s="123">
        <f t="shared" si="4"/>
        <v>16806574.9</v>
      </c>
      <c r="X26" s="34">
        <v>2024</v>
      </c>
      <c r="Y26" s="140">
        <f t="shared" si="0"/>
        <v>97764.2</v>
      </c>
      <c r="Z26" s="141">
        <f t="shared" si="1"/>
        <v>-22025.8</v>
      </c>
      <c r="AA26" s="140">
        <f t="shared" si="2"/>
        <v>0</v>
      </c>
      <c r="AB26" s="140">
        <f t="shared" si="3"/>
        <v>0</v>
      </c>
    </row>
    <row r="27" spans="1:28" s="2" customFormat="1" ht="12.75">
      <c r="A27" s="21" t="s">
        <v>19</v>
      </c>
      <c r="B27" s="22">
        <v>1</v>
      </c>
      <c r="C27" s="22">
        <v>1</v>
      </c>
      <c r="D27" s="22">
        <v>1</v>
      </c>
      <c r="E27" s="22">
        <v>0</v>
      </c>
      <c r="F27" s="22">
        <v>0</v>
      </c>
      <c r="G27" s="22">
        <v>3</v>
      </c>
      <c r="H27" s="26" t="s">
        <v>22</v>
      </c>
      <c r="I27" s="22" t="s">
        <v>21</v>
      </c>
      <c r="J27" s="64">
        <f>J35+J51+J54+J57+J64+J68</f>
        <v>361965.8</v>
      </c>
      <c r="K27" s="64">
        <f aca="true" t="shared" si="6" ref="K27:V27">K35+K51+K54+K57+K64+K68</f>
        <v>372382.5</v>
      </c>
      <c r="L27" s="64">
        <f t="shared" si="6"/>
        <v>435457.5</v>
      </c>
      <c r="M27" s="64">
        <f t="shared" si="6"/>
        <v>554179.1</v>
      </c>
      <c r="N27" s="64">
        <f t="shared" si="6"/>
        <v>537772</v>
      </c>
      <c r="O27" s="64">
        <f t="shared" si="6"/>
        <v>511348.5</v>
      </c>
      <c r="P27" s="84">
        <f t="shared" si="6"/>
        <v>524034.7</v>
      </c>
      <c r="Q27" s="124">
        <f t="shared" si="6"/>
        <v>514155.2</v>
      </c>
      <c r="R27" s="124">
        <f t="shared" si="6"/>
        <v>514155.2</v>
      </c>
      <c r="S27" s="124">
        <f t="shared" si="6"/>
        <v>514155.2</v>
      </c>
      <c r="T27" s="124">
        <f t="shared" si="6"/>
        <v>514155.2</v>
      </c>
      <c r="U27" s="124">
        <f t="shared" si="6"/>
        <v>556434.2</v>
      </c>
      <c r="V27" s="124">
        <f t="shared" si="6"/>
        <v>556434.2</v>
      </c>
      <c r="W27" s="84">
        <f t="shared" si="4"/>
        <v>4370536.2</v>
      </c>
      <c r="X27" s="28">
        <v>2024</v>
      </c>
      <c r="Y27" s="140">
        <f t="shared" si="0"/>
        <v>12686.2</v>
      </c>
      <c r="Z27" s="141">
        <f t="shared" si="1"/>
        <v>0</v>
      </c>
      <c r="AA27" s="140">
        <f t="shared" si="2"/>
        <v>0</v>
      </c>
      <c r="AB27" s="140">
        <f t="shared" si="3"/>
        <v>0</v>
      </c>
    </row>
    <row r="28" spans="1:28" s="2" customFormat="1" ht="12.75">
      <c r="A28" s="21" t="s">
        <v>19</v>
      </c>
      <c r="B28" s="22">
        <v>1</v>
      </c>
      <c r="C28" s="22">
        <v>1</v>
      </c>
      <c r="D28" s="22">
        <v>1</v>
      </c>
      <c r="E28" s="22">
        <v>0</v>
      </c>
      <c r="F28" s="22">
        <v>0</v>
      </c>
      <c r="G28" s="22">
        <v>2</v>
      </c>
      <c r="H28" s="26" t="s">
        <v>23</v>
      </c>
      <c r="I28" s="22" t="s">
        <v>21</v>
      </c>
      <c r="J28" s="64">
        <f>J36+J46+J58</f>
        <v>1039589.3</v>
      </c>
      <c r="K28" s="64">
        <f>K36+K46+K58</f>
        <v>1111065.8</v>
      </c>
      <c r="L28" s="64">
        <f>L36+L46+L58</f>
        <v>1307670.5</v>
      </c>
      <c r="M28" s="65">
        <f>M36+M46+M58</f>
        <v>1398910.8</v>
      </c>
      <c r="N28" s="65">
        <v>1473747.9</v>
      </c>
      <c r="O28" s="65">
        <v>1508203.1</v>
      </c>
      <c r="P28" s="85">
        <f>P36+P46+P58</f>
        <v>1593281.1</v>
      </c>
      <c r="Q28" s="66">
        <f aca="true" t="shared" si="7" ref="Q28:V28">Q36+Q46+Q58</f>
        <v>1505518.5</v>
      </c>
      <c r="R28" s="85">
        <f t="shared" si="7"/>
        <v>1483492.7</v>
      </c>
      <c r="S28" s="66">
        <f t="shared" si="7"/>
        <v>1559518</v>
      </c>
      <c r="T28" s="66">
        <f t="shared" si="7"/>
        <v>1559518</v>
      </c>
      <c r="U28" s="66">
        <f t="shared" si="7"/>
        <v>1468762.6</v>
      </c>
      <c r="V28" s="66">
        <f t="shared" si="7"/>
        <v>1468762.6</v>
      </c>
      <c r="W28" s="84">
        <f t="shared" si="4"/>
        <v>12436038.7</v>
      </c>
      <c r="X28" s="28">
        <v>2024</v>
      </c>
      <c r="Y28" s="140">
        <f t="shared" si="0"/>
        <v>85078</v>
      </c>
      <c r="Z28" s="141">
        <f t="shared" si="1"/>
        <v>-22025.8</v>
      </c>
      <c r="AA28" s="140">
        <f t="shared" si="2"/>
        <v>0</v>
      </c>
      <c r="AB28" s="140">
        <f t="shared" si="3"/>
        <v>0</v>
      </c>
    </row>
    <row r="29" spans="1:28" ht="25.5">
      <c r="A29" s="27" t="s">
        <v>19</v>
      </c>
      <c r="B29" s="28">
        <v>1</v>
      </c>
      <c r="C29" s="28">
        <v>1</v>
      </c>
      <c r="D29" s="28">
        <v>1</v>
      </c>
      <c r="E29" s="28">
        <v>0</v>
      </c>
      <c r="F29" s="28">
        <v>0</v>
      </c>
      <c r="G29" s="30"/>
      <c r="H29" s="32" t="s">
        <v>39</v>
      </c>
      <c r="I29" s="30" t="s">
        <v>28</v>
      </c>
      <c r="J29" s="70">
        <v>33.2</v>
      </c>
      <c r="K29" s="70">
        <v>43.8</v>
      </c>
      <c r="L29" s="70">
        <v>43.9</v>
      </c>
      <c r="M29" s="71">
        <v>51</v>
      </c>
      <c r="N29" s="72">
        <v>47.9</v>
      </c>
      <c r="O29" s="72">
        <v>43.2</v>
      </c>
      <c r="P29" s="73">
        <v>43.2</v>
      </c>
      <c r="Q29" s="119">
        <v>43.3</v>
      </c>
      <c r="R29" s="119">
        <v>43.3</v>
      </c>
      <c r="S29" s="119">
        <v>43.4</v>
      </c>
      <c r="T29" s="119">
        <v>43.4</v>
      </c>
      <c r="U29" s="119">
        <v>43.5</v>
      </c>
      <c r="V29" s="119">
        <v>43.5</v>
      </c>
      <c r="W29" s="120">
        <v>43.5</v>
      </c>
      <c r="X29" s="30">
        <v>2024</v>
      </c>
      <c r="Y29" s="140">
        <f t="shared" si="0"/>
        <v>0</v>
      </c>
      <c r="Z29" s="141">
        <f t="shared" si="1"/>
        <v>0</v>
      </c>
      <c r="AA29" s="140">
        <f t="shared" si="2"/>
        <v>0</v>
      </c>
      <c r="AB29" s="140">
        <f t="shared" si="3"/>
        <v>0</v>
      </c>
    </row>
    <row r="30" spans="1:28" ht="63.75">
      <c r="A30" s="27" t="s">
        <v>19</v>
      </c>
      <c r="B30" s="28">
        <v>1</v>
      </c>
      <c r="C30" s="28">
        <v>1</v>
      </c>
      <c r="D30" s="28">
        <v>1</v>
      </c>
      <c r="E30" s="28">
        <v>0</v>
      </c>
      <c r="F30" s="28">
        <v>0</v>
      </c>
      <c r="G30" s="30"/>
      <c r="H30" s="32" t="s">
        <v>40</v>
      </c>
      <c r="I30" s="30" t="s">
        <v>28</v>
      </c>
      <c r="J30" s="70">
        <v>100</v>
      </c>
      <c r="K30" s="70">
        <v>100</v>
      </c>
      <c r="L30" s="70">
        <v>100</v>
      </c>
      <c r="M30" s="71">
        <v>100</v>
      </c>
      <c r="N30" s="72">
        <v>100</v>
      </c>
      <c r="O30" s="72">
        <v>100</v>
      </c>
      <c r="P30" s="73">
        <v>100</v>
      </c>
      <c r="Q30" s="119">
        <v>100</v>
      </c>
      <c r="R30" s="119">
        <v>100</v>
      </c>
      <c r="S30" s="119">
        <v>100</v>
      </c>
      <c r="T30" s="119">
        <v>100</v>
      </c>
      <c r="U30" s="119">
        <v>100</v>
      </c>
      <c r="V30" s="119">
        <v>100</v>
      </c>
      <c r="W30" s="70">
        <v>100</v>
      </c>
      <c r="X30" s="30">
        <v>2024</v>
      </c>
      <c r="Y30" s="140">
        <f t="shared" si="0"/>
        <v>0</v>
      </c>
      <c r="Z30" s="141">
        <f t="shared" si="1"/>
        <v>0</v>
      </c>
      <c r="AA30" s="140">
        <f t="shared" si="2"/>
        <v>0</v>
      </c>
      <c r="AB30" s="140">
        <f t="shared" si="3"/>
        <v>0</v>
      </c>
    </row>
    <row r="31" spans="1:28" ht="76.5">
      <c r="A31" s="27" t="s">
        <v>19</v>
      </c>
      <c r="B31" s="28">
        <v>1</v>
      </c>
      <c r="C31" s="28">
        <v>1</v>
      </c>
      <c r="D31" s="28">
        <v>1</v>
      </c>
      <c r="E31" s="28">
        <v>0</v>
      </c>
      <c r="F31" s="28">
        <v>0</v>
      </c>
      <c r="G31" s="30"/>
      <c r="H31" s="32" t="s">
        <v>41</v>
      </c>
      <c r="I31" s="30" t="s">
        <v>28</v>
      </c>
      <c r="J31" s="70">
        <v>100</v>
      </c>
      <c r="K31" s="70">
        <v>100</v>
      </c>
      <c r="L31" s="70">
        <v>100</v>
      </c>
      <c r="M31" s="71">
        <v>100</v>
      </c>
      <c r="N31" s="72">
        <v>100</v>
      </c>
      <c r="O31" s="72">
        <v>100</v>
      </c>
      <c r="P31" s="86">
        <v>100</v>
      </c>
      <c r="Q31" s="80">
        <v>100</v>
      </c>
      <c r="R31" s="80">
        <v>100</v>
      </c>
      <c r="S31" s="80">
        <v>100</v>
      </c>
      <c r="T31" s="80">
        <v>100</v>
      </c>
      <c r="U31" s="80">
        <v>100</v>
      </c>
      <c r="V31" s="80">
        <v>100</v>
      </c>
      <c r="W31" s="70">
        <v>100</v>
      </c>
      <c r="X31" s="30">
        <v>2024</v>
      </c>
      <c r="Y31" s="140">
        <f t="shared" si="0"/>
        <v>0</v>
      </c>
      <c r="Z31" s="141">
        <f t="shared" si="1"/>
        <v>0</v>
      </c>
      <c r="AA31" s="140">
        <f t="shared" si="2"/>
        <v>0</v>
      </c>
      <c r="AB31" s="140">
        <f t="shared" si="3"/>
        <v>0</v>
      </c>
    </row>
    <row r="32" spans="1:28" ht="51">
      <c r="A32" s="36" t="s">
        <v>19</v>
      </c>
      <c r="B32" s="37">
        <v>1</v>
      </c>
      <c r="C32" s="37">
        <v>1</v>
      </c>
      <c r="D32" s="37">
        <v>1</v>
      </c>
      <c r="E32" s="37">
        <v>0</v>
      </c>
      <c r="F32" s="37">
        <v>1</v>
      </c>
      <c r="G32" s="38"/>
      <c r="H32" s="39" t="s">
        <v>42</v>
      </c>
      <c r="I32" s="38" t="s">
        <v>43</v>
      </c>
      <c r="J32" s="87" t="s">
        <v>44</v>
      </c>
      <c r="K32" s="87" t="s">
        <v>44</v>
      </c>
      <c r="L32" s="87" t="s">
        <v>44</v>
      </c>
      <c r="M32" s="87" t="s">
        <v>44</v>
      </c>
      <c r="N32" s="87" t="s">
        <v>44</v>
      </c>
      <c r="O32" s="87" t="s">
        <v>44</v>
      </c>
      <c r="P32" s="87" t="s">
        <v>44</v>
      </c>
      <c r="Q32" s="125" t="s">
        <v>44</v>
      </c>
      <c r="R32" s="125" t="s">
        <v>44</v>
      </c>
      <c r="S32" s="125" t="s">
        <v>44</v>
      </c>
      <c r="T32" s="125" t="s">
        <v>44</v>
      </c>
      <c r="U32" s="125" t="s">
        <v>44</v>
      </c>
      <c r="V32" s="125" t="s">
        <v>44</v>
      </c>
      <c r="W32" s="125" t="s">
        <v>44</v>
      </c>
      <c r="X32" s="38">
        <v>2024</v>
      </c>
      <c r="Y32" s="140"/>
      <c r="Z32" s="141"/>
      <c r="AA32" s="140"/>
      <c r="AB32" s="140"/>
    </row>
    <row r="33" spans="1:28" ht="51">
      <c r="A33" s="27" t="s">
        <v>19</v>
      </c>
      <c r="B33" s="28">
        <v>1</v>
      </c>
      <c r="C33" s="28">
        <v>1</v>
      </c>
      <c r="D33" s="28">
        <v>1</v>
      </c>
      <c r="E33" s="28">
        <v>0</v>
      </c>
      <c r="F33" s="28">
        <v>1</v>
      </c>
      <c r="G33" s="30"/>
      <c r="H33" s="32" t="s">
        <v>45</v>
      </c>
      <c r="I33" s="30" t="s">
        <v>28</v>
      </c>
      <c r="J33" s="70">
        <v>100</v>
      </c>
      <c r="K33" s="70">
        <v>100</v>
      </c>
      <c r="L33" s="70">
        <v>100</v>
      </c>
      <c r="M33" s="71">
        <v>100</v>
      </c>
      <c r="N33" s="72">
        <v>100</v>
      </c>
      <c r="O33" s="72">
        <v>100</v>
      </c>
      <c r="P33" s="72">
        <v>100</v>
      </c>
      <c r="Q33" s="71">
        <v>100</v>
      </c>
      <c r="R33" s="71">
        <v>100</v>
      </c>
      <c r="S33" s="71">
        <v>100</v>
      </c>
      <c r="T33" s="71">
        <v>100</v>
      </c>
      <c r="U33" s="71">
        <v>100</v>
      </c>
      <c r="V33" s="71">
        <v>100</v>
      </c>
      <c r="W33" s="71">
        <v>100</v>
      </c>
      <c r="X33" s="30">
        <v>2024</v>
      </c>
      <c r="Y33" s="140">
        <f aca="true" t="shared" si="8" ref="Y33:Y76">P33-O33</f>
        <v>0</v>
      </c>
      <c r="Z33" s="141">
        <f aca="true" t="shared" si="9" ref="Z33:Z76">R33-Q33</f>
        <v>0</v>
      </c>
      <c r="AA33" s="140">
        <f aca="true" t="shared" si="10" ref="AA33:AA76">T33-S33</f>
        <v>0</v>
      </c>
      <c r="AB33" s="140">
        <f aca="true" t="shared" si="11" ref="AB33:AB76">V33-U33</f>
        <v>0</v>
      </c>
    </row>
    <row r="34" spans="1:28" s="2" customFormat="1" ht="38.25">
      <c r="A34" s="36" t="s">
        <v>19</v>
      </c>
      <c r="B34" s="37">
        <v>1</v>
      </c>
      <c r="C34" s="37">
        <v>1</v>
      </c>
      <c r="D34" s="37">
        <v>1</v>
      </c>
      <c r="E34" s="37">
        <v>0</v>
      </c>
      <c r="F34" s="37">
        <v>2</v>
      </c>
      <c r="G34" s="37"/>
      <c r="H34" s="40" t="s">
        <v>46</v>
      </c>
      <c r="I34" s="37" t="s">
        <v>21</v>
      </c>
      <c r="J34" s="88">
        <f>J35+J36</f>
        <v>1304560.8</v>
      </c>
      <c r="K34" s="88">
        <f>K35+K36</f>
        <v>1386401.7</v>
      </c>
      <c r="L34" s="88">
        <f>L35+L36</f>
        <v>1641825.7</v>
      </c>
      <c r="M34" s="89">
        <f>M35+M36</f>
        <v>1827134.8</v>
      </c>
      <c r="N34" s="89">
        <v>1916140.7</v>
      </c>
      <c r="O34" s="89">
        <v>1927616.5</v>
      </c>
      <c r="P34" s="90">
        <f>P35+P36</f>
        <v>2019847.5</v>
      </c>
      <c r="Q34" s="89">
        <v>1913574.2</v>
      </c>
      <c r="R34" s="89">
        <f>R35+R36</f>
        <v>1913574.2</v>
      </c>
      <c r="S34" s="89">
        <v>1969517.9</v>
      </c>
      <c r="T34" s="89">
        <f>T35+T36</f>
        <v>1969517.9</v>
      </c>
      <c r="U34" s="89">
        <v>1978960.5</v>
      </c>
      <c r="V34" s="89">
        <f>V35+V36</f>
        <v>1978960.5</v>
      </c>
      <c r="W34" s="109">
        <f>J34+K34+L34+M34+N34+P34+R34+T34+V34</f>
        <v>15957963.8</v>
      </c>
      <c r="X34" s="37">
        <v>2024</v>
      </c>
      <c r="Y34" s="140">
        <f t="shared" si="8"/>
        <v>92231</v>
      </c>
      <c r="Z34" s="141">
        <f t="shared" si="9"/>
        <v>0</v>
      </c>
      <c r="AA34" s="140">
        <f t="shared" si="10"/>
        <v>0</v>
      </c>
      <c r="AB34" s="140">
        <f t="shared" si="11"/>
        <v>0</v>
      </c>
    </row>
    <row r="35" spans="1:28" s="2" customFormat="1" ht="12.75">
      <c r="A35" s="21" t="s">
        <v>19</v>
      </c>
      <c r="B35" s="22">
        <v>1</v>
      </c>
      <c r="C35" s="22">
        <v>1</v>
      </c>
      <c r="D35" s="22">
        <v>1</v>
      </c>
      <c r="E35" s="22">
        <v>0</v>
      </c>
      <c r="F35" s="22">
        <v>2</v>
      </c>
      <c r="G35" s="22">
        <v>3</v>
      </c>
      <c r="H35" s="26" t="s">
        <v>22</v>
      </c>
      <c r="I35" s="22" t="s">
        <v>21</v>
      </c>
      <c r="J35" s="64">
        <f>350074.9+300-2467.9</f>
        <v>347907</v>
      </c>
      <c r="K35" s="64">
        <f>365379.5-0.07</f>
        <v>365379.4</v>
      </c>
      <c r="L35" s="64">
        <v>428394.5</v>
      </c>
      <c r="M35" s="65">
        <v>540651.4</v>
      </c>
      <c r="N35" s="91">
        <v>526637.7</v>
      </c>
      <c r="O35" s="91">
        <v>500877.3</v>
      </c>
      <c r="P35" s="92">
        <v>512774.2</v>
      </c>
      <c r="Q35" s="91">
        <v>503684</v>
      </c>
      <c r="R35" s="91">
        <v>503684</v>
      </c>
      <c r="S35" s="91">
        <v>503684</v>
      </c>
      <c r="T35" s="91">
        <v>503684</v>
      </c>
      <c r="U35" s="91">
        <v>544024.1</v>
      </c>
      <c r="V35" s="91">
        <v>544024.1</v>
      </c>
      <c r="W35" s="126">
        <f>J35+K35+L35+M35+N35+P35+R35+T35+V35</f>
        <v>4273136.3</v>
      </c>
      <c r="X35" s="28">
        <v>2024</v>
      </c>
      <c r="Y35" s="140">
        <f t="shared" si="8"/>
        <v>11896.9</v>
      </c>
      <c r="Z35" s="141">
        <f t="shared" si="9"/>
        <v>0</v>
      </c>
      <c r="AA35" s="140">
        <f t="shared" si="10"/>
        <v>0</v>
      </c>
      <c r="AB35" s="140">
        <f t="shared" si="11"/>
        <v>0</v>
      </c>
    </row>
    <row r="36" spans="1:28" s="2" customFormat="1" ht="12.75">
      <c r="A36" s="21" t="s">
        <v>19</v>
      </c>
      <c r="B36" s="22">
        <v>1</v>
      </c>
      <c r="C36" s="22">
        <v>1</v>
      </c>
      <c r="D36" s="22">
        <v>1</v>
      </c>
      <c r="E36" s="22">
        <v>0</v>
      </c>
      <c r="F36" s="22">
        <v>2</v>
      </c>
      <c r="G36" s="22">
        <v>2</v>
      </c>
      <c r="H36" s="26" t="s">
        <v>23</v>
      </c>
      <c r="I36" s="22" t="s">
        <v>21</v>
      </c>
      <c r="J36" s="64">
        <v>956653.8</v>
      </c>
      <c r="K36" s="64">
        <f>1011563.8+9458.5</f>
        <v>1021022.3</v>
      </c>
      <c r="L36" s="64">
        <v>1213431.2</v>
      </c>
      <c r="M36" s="65">
        <v>1286483.4</v>
      </c>
      <c r="N36" s="91">
        <v>1389503</v>
      </c>
      <c r="O36" s="91">
        <v>1426739.2</v>
      </c>
      <c r="P36" s="92">
        <v>1507073.3</v>
      </c>
      <c r="Q36" s="91">
        <v>1409890.2</v>
      </c>
      <c r="R36" s="91">
        <v>1409890.2</v>
      </c>
      <c r="S36" s="91">
        <v>1465833.9</v>
      </c>
      <c r="T36" s="91">
        <v>1465833.9</v>
      </c>
      <c r="U36" s="91">
        <v>1434936.4</v>
      </c>
      <c r="V36" s="91">
        <v>1434936.4</v>
      </c>
      <c r="W36" s="126">
        <f>J36+K36+L36+M36+N36+P36+R36+T36+V36</f>
        <v>11684827.5</v>
      </c>
      <c r="X36" s="28">
        <v>2024</v>
      </c>
      <c r="Y36" s="140">
        <f t="shared" si="8"/>
        <v>80334.1</v>
      </c>
      <c r="Z36" s="141">
        <f t="shared" si="9"/>
        <v>0</v>
      </c>
      <c r="AA36" s="140">
        <f t="shared" si="10"/>
        <v>0</v>
      </c>
      <c r="AB36" s="140">
        <f t="shared" si="11"/>
        <v>0</v>
      </c>
    </row>
    <row r="37" spans="1:28" ht="51">
      <c r="A37" s="27" t="s">
        <v>19</v>
      </c>
      <c r="B37" s="28">
        <v>1</v>
      </c>
      <c r="C37" s="28">
        <v>1</v>
      </c>
      <c r="D37" s="28">
        <v>1</v>
      </c>
      <c r="E37" s="28">
        <v>0</v>
      </c>
      <c r="F37" s="28">
        <v>2</v>
      </c>
      <c r="G37" s="30"/>
      <c r="H37" s="41" t="s">
        <v>47</v>
      </c>
      <c r="I37" s="30" t="s">
        <v>48</v>
      </c>
      <c r="J37" s="93">
        <v>10602</v>
      </c>
      <c r="K37" s="93">
        <v>11344</v>
      </c>
      <c r="L37" s="93">
        <v>11226</v>
      </c>
      <c r="M37" s="94">
        <v>11546</v>
      </c>
      <c r="N37" s="95">
        <v>12046</v>
      </c>
      <c r="O37" s="95">
        <v>11868</v>
      </c>
      <c r="P37" s="96">
        <v>11868</v>
      </c>
      <c r="Q37" s="96">
        <v>12043</v>
      </c>
      <c r="R37" s="96">
        <v>12043</v>
      </c>
      <c r="S37" s="127">
        <v>12043</v>
      </c>
      <c r="T37" s="127">
        <v>12043</v>
      </c>
      <c r="U37" s="127">
        <v>12446</v>
      </c>
      <c r="V37" s="127">
        <v>12446</v>
      </c>
      <c r="W37" s="93">
        <v>12446</v>
      </c>
      <c r="X37" s="30">
        <v>2024</v>
      </c>
      <c r="Y37" s="140">
        <f t="shared" si="8"/>
        <v>0</v>
      </c>
      <c r="Z37" s="141">
        <f t="shared" si="9"/>
        <v>0</v>
      </c>
      <c r="AA37" s="140">
        <f t="shared" si="10"/>
        <v>0</v>
      </c>
      <c r="AB37" s="140">
        <f t="shared" si="11"/>
        <v>0</v>
      </c>
    </row>
    <row r="38" spans="1:28" ht="79.5" customHeight="1">
      <c r="A38" s="27" t="s">
        <v>19</v>
      </c>
      <c r="B38" s="28">
        <v>1</v>
      </c>
      <c r="C38" s="28">
        <v>1</v>
      </c>
      <c r="D38" s="28">
        <v>1</v>
      </c>
      <c r="E38" s="28">
        <v>0</v>
      </c>
      <c r="F38" s="28">
        <v>2</v>
      </c>
      <c r="G38" s="30"/>
      <c r="H38" s="41" t="s">
        <v>49</v>
      </c>
      <c r="I38" s="30" t="s">
        <v>28</v>
      </c>
      <c r="J38" s="76">
        <f>326736/J9*100</f>
        <v>29.5</v>
      </c>
      <c r="K38" s="76">
        <f>343955.4/K9*100</f>
        <v>28.3</v>
      </c>
      <c r="L38" s="76">
        <f>402987.6/L9*100</f>
        <v>29</v>
      </c>
      <c r="M38" s="77">
        <v>29.3</v>
      </c>
      <c r="N38" s="77">
        <v>30.7</v>
      </c>
      <c r="O38" s="77">
        <v>30</v>
      </c>
      <c r="P38" s="97">
        <f>484369.8/P9*100</f>
        <v>29.4</v>
      </c>
      <c r="Q38" s="77">
        <v>30.3</v>
      </c>
      <c r="R38" s="97">
        <f>475724.8/R9*100</f>
        <v>30.2</v>
      </c>
      <c r="S38" s="77">
        <v>30</v>
      </c>
      <c r="T38" s="128">
        <f>475724.8/T9*100</f>
        <v>30</v>
      </c>
      <c r="U38" s="128">
        <v>31.6</v>
      </c>
      <c r="V38" s="128">
        <v>31.6</v>
      </c>
      <c r="W38" s="129">
        <f>(J38+K38+L38+M38+N38+P38+R38+T38+V38)/9</f>
        <v>29.8</v>
      </c>
      <c r="X38" s="30">
        <v>2024</v>
      </c>
      <c r="Y38" s="140">
        <f t="shared" si="8"/>
        <v>-0.6</v>
      </c>
      <c r="Z38" s="141">
        <f t="shared" si="9"/>
        <v>-0.1</v>
      </c>
      <c r="AA38" s="140">
        <f t="shared" si="10"/>
        <v>0</v>
      </c>
      <c r="AB38" s="140">
        <f t="shared" si="11"/>
        <v>0</v>
      </c>
    </row>
    <row r="39" spans="1:28" ht="102">
      <c r="A39" s="27" t="s">
        <v>19</v>
      </c>
      <c r="B39" s="28">
        <v>1</v>
      </c>
      <c r="C39" s="28">
        <v>1</v>
      </c>
      <c r="D39" s="28">
        <v>1</v>
      </c>
      <c r="E39" s="28">
        <v>0</v>
      </c>
      <c r="F39" s="28">
        <v>2</v>
      </c>
      <c r="G39" s="42"/>
      <c r="H39" s="41" t="s">
        <v>50</v>
      </c>
      <c r="I39" s="30" t="s">
        <v>21</v>
      </c>
      <c r="J39" s="70">
        <f>J36/(J37+J40)</f>
        <v>85.6</v>
      </c>
      <c r="K39" s="70">
        <v>84.6</v>
      </c>
      <c r="L39" s="70">
        <f>L36/(L37+L40)</f>
        <v>102.3</v>
      </c>
      <c r="M39" s="72">
        <v>105.7</v>
      </c>
      <c r="N39" s="72">
        <v>110</v>
      </c>
      <c r="O39" s="72">
        <v>114.5</v>
      </c>
      <c r="P39" s="86">
        <f>P36/(P37+P40)</f>
        <v>121</v>
      </c>
      <c r="Q39" s="86">
        <v>118.3</v>
      </c>
      <c r="R39" s="86">
        <v>118.3</v>
      </c>
      <c r="S39" s="86">
        <v>116</v>
      </c>
      <c r="T39" s="86">
        <f>T36/(T37+T40)</f>
        <v>116</v>
      </c>
      <c r="U39" s="86">
        <v>110.1</v>
      </c>
      <c r="V39" s="86">
        <f>V36/(V37+V40)</f>
        <v>110.1</v>
      </c>
      <c r="W39" s="129">
        <f>(J39+K39+L39+M39+N39+P39+R39+T39+V39)/9</f>
        <v>106</v>
      </c>
      <c r="X39" s="30">
        <v>2024</v>
      </c>
      <c r="Y39" s="140">
        <f t="shared" si="8"/>
        <v>6.5</v>
      </c>
      <c r="Z39" s="141">
        <f t="shared" si="9"/>
        <v>0</v>
      </c>
      <c r="AA39" s="140">
        <f t="shared" si="10"/>
        <v>0</v>
      </c>
      <c r="AB39" s="140">
        <f t="shared" si="11"/>
        <v>0</v>
      </c>
    </row>
    <row r="40" spans="1:28" ht="76.5">
      <c r="A40" s="27" t="s">
        <v>19</v>
      </c>
      <c r="B40" s="28">
        <v>1</v>
      </c>
      <c r="C40" s="28">
        <v>1</v>
      </c>
      <c r="D40" s="28">
        <v>1</v>
      </c>
      <c r="E40" s="28">
        <v>0</v>
      </c>
      <c r="F40" s="28">
        <v>2</v>
      </c>
      <c r="G40" s="42"/>
      <c r="H40" s="41" t="s">
        <v>51</v>
      </c>
      <c r="I40" s="30" t="s">
        <v>48</v>
      </c>
      <c r="J40" s="93">
        <v>579</v>
      </c>
      <c r="K40" s="93">
        <v>621</v>
      </c>
      <c r="L40" s="93">
        <v>636</v>
      </c>
      <c r="M40" s="94">
        <v>622</v>
      </c>
      <c r="N40" s="95">
        <v>589</v>
      </c>
      <c r="O40" s="95">
        <v>591</v>
      </c>
      <c r="P40" s="96">
        <v>591</v>
      </c>
      <c r="Q40" s="96">
        <v>594</v>
      </c>
      <c r="R40" s="96">
        <v>594</v>
      </c>
      <c r="S40" s="127">
        <v>594</v>
      </c>
      <c r="T40" s="127">
        <v>594</v>
      </c>
      <c r="U40" s="127">
        <v>587</v>
      </c>
      <c r="V40" s="127">
        <v>587</v>
      </c>
      <c r="W40" s="129">
        <v>587</v>
      </c>
      <c r="X40" s="30">
        <v>2024</v>
      </c>
      <c r="Y40" s="140">
        <f t="shared" si="8"/>
        <v>0</v>
      </c>
      <c r="Z40" s="141">
        <f t="shared" si="9"/>
        <v>0</v>
      </c>
      <c r="AA40" s="140">
        <f t="shared" si="10"/>
        <v>0</v>
      </c>
      <c r="AB40" s="140">
        <f t="shared" si="11"/>
        <v>0</v>
      </c>
    </row>
    <row r="41" spans="1:28" ht="89.25">
      <c r="A41" s="27" t="s">
        <v>19</v>
      </c>
      <c r="B41" s="28">
        <v>1</v>
      </c>
      <c r="C41" s="28">
        <v>1</v>
      </c>
      <c r="D41" s="28">
        <v>1</v>
      </c>
      <c r="E41" s="28">
        <v>0</v>
      </c>
      <c r="F41" s="28">
        <v>2</v>
      </c>
      <c r="G41" s="42"/>
      <c r="H41" s="41" t="s">
        <v>52</v>
      </c>
      <c r="I41" s="30" t="s">
        <v>28</v>
      </c>
      <c r="J41" s="76">
        <f>21171/J9*100</f>
        <v>1.9</v>
      </c>
      <c r="K41" s="76">
        <f>21424/K9*100</f>
        <v>1.8</v>
      </c>
      <c r="L41" s="76">
        <f>25406.8/L9*100</f>
        <v>1.8</v>
      </c>
      <c r="M41" s="98">
        <v>1.8</v>
      </c>
      <c r="N41" s="77">
        <v>1.8</v>
      </c>
      <c r="O41" s="77">
        <v>1.8</v>
      </c>
      <c r="P41" s="97">
        <f>27726.9/P9*100</f>
        <v>1.7</v>
      </c>
      <c r="Q41" s="77">
        <v>1.8</v>
      </c>
      <c r="R41" s="128">
        <f>27959.2/R9*100</f>
        <v>1.8</v>
      </c>
      <c r="S41" s="128">
        <v>1.8</v>
      </c>
      <c r="T41" s="128">
        <f>27959.2/T9*100</f>
        <v>1.8</v>
      </c>
      <c r="U41" s="128">
        <v>1.8</v>
      </c>
      <c r="V41" s="128">
        <v>1.8</v>
      </c>
      <c r="W41" s="130">
        <f>(J41+K41+L41+M41+N41+P41+R41+T41+V41)/9</f>
        <v>1.8</v>
      </c>
      <c r="X41" s="30">
        <v>2024</v>
      </c>
      <c r="Y41" s="140">
        <f t="shared" si="8"/>
        <v>-0.1</v>
      </c>
      <c r="Z41" s="141">
        <f t="shared" si="9"/>
        <v>0</v>
      </c>
      <c r="AA41" s="140">
        <f t="shared" si="10"/>
        <v>0</v>
      </c>
      <c r="AB41" s="140">
        <f t="shared" si="11"/>
        <v>0</v>
      </c>
    </row>
    <row r="42" spans="1:28" ht="63.75">
      <c r="A42" s="27" t="s">
        <v>19</v>
      </c>
      <c r="B42" s="28">
        <v>1</v>
      </c>
      <c r="C42" s="28">
        <v>1</v>
      </c>
      <c r="D42" s="28">
        <v>1</v>
      </c>
      <c r="E42" s="28">
        <v>0</v>
      </c>
      <c r="F42" s="28">
        <v>2</v>
      </c>
      <c r="G42" s="42"/>
      <c r="H42" s="41" t="s">
        <v>53</v>
      </c>
      <c r="I42" s="30" t="s">
        <v>54</v>
      </c>
      <c r="J42" s="76">
        <v>0</v>
      </c>
      <c r="K42" s="70">
        <v>31452.8</v>
      </c>
      <c r="L42" s="70">
        <v>35199.6</v>
      </c>
      <c r="M42" s="71">
        <v>39093.8</v>
      </c>
      <c r="N42" s="72">
        <v>42101</v>
      </c>
      <c r="O42" s="72">
        <v>44350</v>
      </c>
      <c r="P42" s="72">
        <v>44350</v>
      </c>
      <c r="Q42" s="72">
        <v>44350</v>
      </c>
      <c r="R42" s="72">
        <v>44350</v>
      </c>
      <c r="S42" s="72">
        <v>44350</v>
      </c>
      <c r="T42" s="72">
        <v>44350</v>
      </c>
      <c r="U42" s="72">
        <v>44350</v>
      </c>
      <c r="V42" s="72">
        <v>44350</v>
      </c>
      <c r="W42" s="70">
        <v>44350</v>
      </c>
      <c r="X42" s="30">
        <v>2024</v>
      </c>
      <c r="Y42" s="140">
        <f t="shared" si="8"/>
        <v>0</v>
      </c>
      <c r="Z42" s="141">
        <f t="shared" si="9"/>
        <v>0</v>
      </c>
      <c r="AA42" s="140">
        <f t="shared" si="10"/>
        <v>0</v>
      </c>
      <c r="AB42" s="140">
        <f t="shared" si="11"/>
        <v>0</v>
      </c>
    </row>
    <row r="43" spans="1:28" ht="84" customHeight="1">
      <c r="A43" s="27" t="s">
        <v>19</v>
      </c>
      <c r="B43" s="28">
        <v>1</v>
      </c>
      <c r="C43" s="28">
        <v>1</v>
      </c>
      <c r="D43" s="28">
        <v>1</v>
      </c>
      <c r="E43" s="28">
        <v>0</v>
      </c>
      <c r="F43" s="28">
        <v>2</v>
      </c>
      <c r="G43" s="30"/>
      <c r="H43" s="32" t="s">
        <v>55</v>
      </c>
      <c r="I43" s="30" t="s">
        <v>48</v>
      </c>
      <c r="J43" s="99">
        <v>0</v>
      </c>
      <c r="K43" s="93">
        <v>0</v>
      </c>
      <c r="L43" s="93">
        <v>722</v>
      </c>
      <c r="M43" s="100">
        <v>772</v>
      </c>
      <c r="N43" s="100">
        <v>1263</v>
      </c>
      <c r="O43" s="100">
        <v>526</v>
      </c>
      <c r="P43" s="100">
        <v>526</v>
      </c>
      <c r="Q43" s="100">
        <v>526</v>
      </c>
      <c r="R43" s="100">
        <v>526</v>
      </c>
      <c r="S43" s="100">
        <v>526</v>
      </c>
      <c r="T43" s="100">
        <v>526</v>
      </c>
      <c r="U43" s="100">
        <v>526</v>
      </c>
      <c r="V43" s="100">
        <v>526</v>
      </c>
      <c r="W43" s="93">
        <f>J43+K43+L43+M43+N43+P43+R43+T43+V43</f>
        <v>4861</v>
      </c>
      <c r="X43" s="30">
        <v>2024</v>
      </c>
      <c r="Y43" s="140">
        <f t="shared" si="8"/>
        <v>0</v>
      </c>
      <c r="Z43" s="141">
        <f t="shared" si="9"/>
        <v>0</v>
      </c>
      <c r="AA43" s="140">
        <f t="shared" si="10"/>
        <v>0</v>
      </c>
      <c r="AB43" s="140">
        <f t="shared" si="11"/>
        <v>0</v>
      </c>
    </row>
    <row r="44" spans="1:28" ht="25.5">
      <c r="A44" s="21" t="s">
        <v>19</v>
      </c>
      <c r="B44" s="22">
        <v>1</v>
      </c>
      <c r="C44" s="22">
        <v>1</v>
      </c>
      <c r="D44" s="22">
        <v>1</v>
      </c>
      <c r="E44" s="22">
        <v>0</v>
      </c>
      <c r="F44" s="22">
        <v>2</v>
      </c>
      <c r="G44" s="43"/>
      <c r="H44" s="44" t="s">
        <v>56</v>
      </c>
      <c r="I44" s="43" t="s">
        <v>57</v>
      </c>
      <c r="J44" s="101">
        <v>0</v>
      </c>
      <c r="K44" s="102">
        <v>0</v>
      </c>
      <c r="L44" s="102">
        <v>0</v>
      </c>
      <c r="M44" s="103">
        <v>0</v>
      </c>
      <c r="N44" s="100">
        <v>0</v>
      </c>
      <c r="O44" s="100">
        <v>80</v>
      </c>
      <c r="P44" s="100">
        <v>80</v>
      </c>
      <c r="Q44" s="100">
        <v>80</v>
      </c>
      <c r="R44" s="100">
        <v>80</v>
      </c>
      <c r="S44" s="100">
        <v>80</v>
      </c>
      <c r="T44" s="100">
        <v>80</v>
      </c>
      <c r="U44" s="100">
        <v>80</v>
      </c>
      <c r="V44" s="100">
        <v>80</v>
      </c>
      <c r="W44" s="131">
        <v>80</v>
      </c>
      <c r="X44" s="43">
        <v>2024</v>
      </c>
      <c r="Y44" s="140">
        <f t="shared" si="8"/>
        <v>0</v>
      </c>
      <c r="Z44" s="141">
        <f t="shared" si="9"/>
        <v>0</v>
      </c>
      <c r="AA44" s="140">
        <f t="shared" si="10"/>
        <v>0</v>
      </c>
      <c r="AB44" s="140">
        <f t="shared" si="11"/>
        <v>0</v>
      </c>
    </row>
    <row r="45" spans="1:28" s="2" customFormat="1" ht="97.5" customHeight="1">
      <c r="A45" s="36" t="s">
        <v>19</v>
      </c>
      <c r="B45" s="37">
        <v>1</v>
      </c>
      <c r="C45" s="37">
        <v>1</v>
      </c>
      <c r="D45" s="37">
        <v>1</v>
      </c>
      <c r="E45" s="37">
        <v>0</v>
      </c>
      <c r="F45" s="37">
        <v>3</v>
      </c>
      <c r="G45" s="37"/>
      <c r="H45" s="389" t="s">
        <v>462</v>
      </c>
      <c r="I45" s="37" t="s">
        <v>21</v>
      </c>
      <c r="J45" s="88">
        <f>J46</f>
        <v>82585</v>
      </c>
      <c r="K45" s="88">
        <f>K46</f>
        <v>89695.7</v>
      </c>
      <c r="L45" s="88">
        <f>L46</f>
        <v>94239.3</v>
      </c>
      <c r="M45" s="88">
        <f>M46</f>
        <v>107189.7</v>
      </c>
      <c r="N45" s="88">
        <v>81316.5</v>
      </c>
      <c r="O45" s="88">
        <v>81463.9</v>
      </c>
      <c r="P45" s="88">
        <f>P46</f>
        <v>81463.9</v>
      </c>
      <c r="Q45" s="88">
        <v>95628.3</v>
      </c>
      <c r="R45" s="109">
        <f>R46</f>
        <v>73602.5</v>
      </c>
      <c r="S45" s="88">
        <v>93684.1</v>
      </c>
      <c r="T45" s="88">
        <f>T46</f>
        <v>93684.1</v>
      </c>
      <c r="U45" s="88">
        <v>33826.2</v>
      </c>
      <c r="V45" s="88">
        <f>V46</f>
        <v>33826.2</v>
      </c>
      <c r="W45" s="109">
        <f aca="true" t="shared" si="12" ref="W45:W54">J45+K45+L45+M45+N45+P45+R45+T45+V45</f>
        <v>737602.9</v>
      </c>
      <c r="X45" s="37">
        <v>2024</v>
      </c>
      <c r="Y45" s="140">
        <f t="shared" si="8"/>
        <v>0</v>
      </c>
      <c r="Z45" s="141">
        <f t="shared" si="9"/>
        <v>-22025.8</v>
      </c>
      <c r="AA45" s="140">
        <f t="shared" si="10"/>
        <v>0</v>
      </c>
      <c r="AB45" s="140">
        <f t="shared" si="11"/>
        <v>0</v>
      </c>
    </row>
    <row r="46" spans="1:28" s="2" customFormat="1" ht="12.75">
      <c r="A46" s="21" t="s">
        <v>19</v>
      </c>
      <c r="B46" s="22">
        <v>1</v>
      </c>
      <c r="C46" s="22">
        <v>1</v>
      </c>
      <c r="D46" s="22">
        <v>1</v>
      </c>
      <c r="E46" s="22">
        <v>0</v>
      </c>
      <c r="F46" s="22">
        <v>3</v>
      </c>
      <c r="G46" s="22">
        <v>2</v>
      </c>
      <c r="H46" s="26" t="s">
        <v>23</v>
      </c>
      <c r="I46" s="28" t="s">
        <v>21</v>
      </c>
      <c r="J46" s="64">
        <f>72635+9950</f>
        <v>82585</v>
      </c>
      <c r="K46" s="64">
        <v>89695.7</v>
      </c>
      <c r="L46" s="64">
        <v>94239.3</v>
      </c>
      <c r="M46" s="65">
        <v>107189.7</v>
      </c>
      <c r="N46" s="91">
        <v>81316.5</v>
      </c>
      <c r="O46" s="91">
        <v>81463.9</v>
      </c>
      <c r="P46" s="91">
        <v>81463.9</v>
      </c>
      <c r="Q46" s="91">
        <v>95628.3</v>
      </c>
      <c r="R46" s="92">
        <v>73602.5</v>
      </c>
      <c r="S46" s="91">
        <v>93684.1</v>
      </c>
      <c r="T46" s="91">
        <v>93684.1</v>
      </c>
      <c r="U46" s="91">
        <v>33826.2</v>
      </c>
      <c r="V46" s="91">
        <v>33826.2</v>
      </c>
      <c r="W46" s="126">
        <f t="shared" si="12"/>
        <v>737602.9</v>
      </c>
      <c r="X46" s="28">
        <v>2024</v>
      </c>
      <c r="Y46" s="140">
        <f t="shared" si="8"/>
        <v>0</v>
      </c>
      <c r="Z46" s="141">
        <f t="shared" si="9"/>
        <v>-22025.8</v>
      </c>
      <c r="AA46" s="140">
        <f t="shared" si="10"/>
        <v>0</v>
      </c>
      <c r="AB46" s="140">
        <f t="shared" si="11"/>
        <v>0</v>
      </c>
    </row>
    <row r="47" spans="1:28" ht="76.5">
      <c r="A47" s="21" t="s">
        <v>19</v>
      </c>
      <c r="B47" s="22">
        <v>1</v>
      </c>
      <c r="C47" s="22">
        <v>1</v>
      </c>
      <c r="D47" s="22">
        <v>1</v>
      </c>
      <c r="E47" s="22">
        <v>0</v>
      </c>
      <c r="F47" s="22">
        <v>3</v>
      </c>
      <c r="G47" s="45"/>
      <c r="H47" s="46" t="s">
        <v>58</v>
      </c>
      <c r="I47" s="30" t="s">
        <v>48</v>
      </c>
      <c r="J47" s="93">
        <v>6643</v>
      </c>
      <c r="K47" s="93">
        <f>6540+7</f>
        <v>6547</v>
      </c>
      <c r="L47" s="93">
        <v>6125</v>
      </c>
      <c r="M47" s="94">
        <v>6025</v>
      </c>
      <c r="N47" s="95">
        <v>5452</v>
      </c>
      <c r="O47" s="95">
        <v>6205</v>
      </c>
      <c r="P47" s="104">
        <v>6205</v>
      </c>
      <c r="Q47" s="95">
        <v>6294</v>
      </c>
      <c r="R47" s="104">
        <v>6294</v>
      </c>
      <c r="S47" s="95">
        <v>6294</v>
      </c>
      <c r="T47" s="104">
        <v>6294</v>
      </c>
      <c r="U47" s="95">
        <v>6763</v>
      </c>
      <c r="V47" s="104">
        <v>6763</v>
      </c>
      <c r="W47" s="93">
        <f t="shared" si="12"/>
        <v>56348</v>
      </c>
      <c r="X47" s="30">
        <v>2024</v>
      </c>
      <c r="Y47" s="140">
        <f t="shared" si="8"/>
        <v>0</v>
      </c>
      <c r="Z47" s="141">
        <f t="shared" si="9"/>
        <v>0</v>
      </c>
      <c r="AA47" s="140">
        <f t="shared" si="10"/>
        <v>0</v>
      </c>
      <c r="AB47" s="140">
        <f t="shared" si="11"/>
        <v>0</v>
      </c>
    </row>
    <row r="48" spans="1:28" ht="76.5">
      <c r="A48" s="21" t="s">
        <v>19</v>
      </c>
      <c r="B48" s="22">
        <v>1</v>
      </c>
      <c r="C48" s="22">
        <v>1</v>
      </c>
      <c r="D48" s="22">
        <v>1</v>
      </c>
      <c r="E48" s="22">
        <v>0</v>
      </c>
      <c r="F48" s="22">
        <v>3</v>
      </c>
      <c r="G48" s="45"/>
      <c r="H48" s="46" t="s">
        <v>59</v>
      </c>
      <c r="I48" s="30" t="s">
        <v>48</v>
      </c>
      <c r="J48" s="93">
        <v>4101</v>
      </c>
      <c r="K48" s="93">
        <f>4412-2</f>
        <v>4410</v>
      </c>
      <c r="L48" s="93">
        <v>4985</v>
      </c>
      <c r="M48" s="94">
        <v>4986</v>
      </c>
      <c r="N48" s="95">
        <v>4768</v>
      </c>
      <c r="O48" s="95">
        <v>5123</v>
      </c>
      <c r="P48" s="104">
        <v>5123</v>
      </c>
      <c r="Q48" s="95">
        <v>5196</v>
      </c>
      <c r="R48" s="104">
        <v>5196</v>
      </c>
      <c r="S48" s="95">
        <v>5196</v>
      </c>
      <c r="T48" s="104">
        <v>5196</v>
      </c>
      <c r="U48" s="95">
        <v>5229</v>
      </c>
      <c r="V48" s="104">
        <v>5229</v>
      </c>
      <c r="W48" s="93">
        <f t="shared" si="12"/>
        <v>43994</v>
      </c>
      <c r="X48" s="30">
        <v>2024</v>
      </c>
      <c r="Y48" s="140">
        <f t="shared" si="8"/>
        <v>0</v>
      </c>
      <c r="Z48" s="141">
        <f t="shared" si="9"/>
        <v>0</v>
      </c>
      <c r="AA48" s="140">
        <f t="shared" si="10"/>
        <v>0</v>
      </c>
      <c r="AB48" s="140">
        <f t="shared" si="11"/>
        <v>0</v>
      </c>
    </row>
    <row r="49" spans="1:28" ht="76.5">
      <c r="A49" s="21" t="s">
        <v>19</v>
      </c>
      <c r="B49" s="22">
        <v>1</v>
      </c>
      <c r="C49" s="22">
        <v>1</v>
      </c>
      <c r="D49" s="22">
        <v>1</v>
      </c>
      <c r="E49" s="22">
        <v>0</v>
      </c>
      <c r="F49" s="22">
        <v>3</v>
      </c>
      <c r="G49" s="45"/>
      <c r="H49" s="46" t="s">
        <v>60</v>
      </c>
      <c r="I49" s="30" t="s">
        <v>48</v>
      </c>
      <c r="J49" s="105">
        <v>527</v>
      </c>
      <c r="K49" s="105">
        <v>640</v>
      </c>
      <c r="L49" s="105">
        <v>827</v>
      </c>
      <c r="M49" s="106">
        <v>863</v>
      </c>
      <c r="N49" s="107">
        <v>925</v>
      </c>
      <c r="O49" s="107">
        <v>893</v>
      </c>
      <c r="P49" s="108">
        <v>893</v>
      </c>
      <c r="Q49" s="107">
        <v>905</v>
      </c>
      <c r="R49" s="108">
        <v>905</v>
      </c>
      <c r="S49" s="107">
        <v>905</v>
      </c>
      <c r="T49" s="108">
        <v>905</v>
      </c>
      <c r="U49" s="107">
        <v>768</v>
      </c>
      <c r="V49" s="108">
        <v>768</v>
      </c>
      <c r="W49" s="93">
        <f t="shared" si="12"/>
        <v>7253</v>
      </c>
      <c r="X49" s="30">
        <v>2024</v>
      </c>
      <c r="Y49" s="140">
        <f t="shared" si="8"/>
        <v>0</v>
      </c>
      <c r="Z49" s="141">
        <f t="shared" si="9"/>
        <v>0</v>
      </c>
      <c r="AA49" s="140">
        <f t="shared" si="10"/>
        <v>0</v>
      </c>
      <c r="AB49" s="140">
        <f t="shared" si="11"/>
        <v>0</v>
      </c>
    </row>
    <row r="50" spans="1:28" s="2" customFormat="1" ht="63.75">
      <c r="A50" s="36" t="s">
        <v>19</v>
      </c>
      <c r="B50" s="37">
        <v>1</v>
      </c>
      <c r="C50" s="37">
        <v>1</v>
      </c>
      <c r="D50" s="37">
        <v>1</v>
      </c>
      <c r="E50" s="37">
        <v>0</v>
      </c>
      <c r="F50" s="37">
        <v>4</v>
      </c>
      <c r="G50" s="37"/>
      <c r="H50" s="40" t="s">
        <v>61</v>
      </c>
      <c r="I50" s="37" t="s">
        <v>21</v>
      </c>
      <c r="J50" s="88">
        <f>J51</f>
        <v>2973</v>
      </c>
      <c r="K50" s="88">
        <f>K51</f>
        <v>1543</v>
      </c>
      <c r="L50" s="88">
        <f>L51</f>
        <v>1087.7</v>
      </c>
      <c r="M50" s="88">
        <f>M51</f>
        <v>719.7</v>
      </c>
      <c r="N50" s="88">
        <f>N51</f>
        <v>396.9</v>
      </c>
      <c r="O50" s="88">
        <v>745</v>
      </c>
      <c r="P50" s="109">
        <f>P51</f>
        <v>760.2</v>
      </c>
      <c r="Q50" s="88">
        <v>745</v>
      </c>
      <c r="R50" s="88">
        <f>R51</f>
        <v>745</v>
      </c>
      <c r="S50" s="88">
        <v>745</v>
      </c>
      <c r="T50" s="88">
        <f>T51</f>
        <v>745</v>
      </c>
      <c r="U50" s="89">
        <v>937</v>
      </c>
      <c r="V50" s="89">
        <f>V51</f>
        <v>937</v>
      </c>
      <c r="W50" s="88">
        <f t="shared" si="12"/>
        <v>9907.5</v>
      </c>
      <c r="X50" s="37">
        <v>2024</v>
      </c>
      <c r="Y50" s="140">
        <f t="shared" si="8"/>
        <v>15.2</v>
      </c>
      <c r="Z50" s="141">
        <f t="shared" si="9"/>
        <v>0</v>
      </c>
      <c r="AA50" s="140">
        <f t="shared" si="10"/>
        <v>0</v>
      </c>
      <c r="AB50" s="140">
        <f t="shared" si="11"/>
        <v>0</v>
      </c>
    </row>
    <row r="51" spans="1:28" s="2" customFormat="1" ht="12.75">
      <c r="A51" s="21" t="s">
        <v>19</v>
      </c>
      <c r="B51" s="22">
        <v>1</v>
      </c>
      <c r="C51" s="22">
        <v>1</v>
      </c>
      <c r="D51" s="22">
        <v>1</v>
      </c>
      <c r="E51" s="22">
        <v>0</v>
      </c>
      <c r="F51" s="22">
        <v>4</v>
      </c>
      <c r="G51" s="22">
        <v>3</v>
      </c>
      <c r="H51" s="26" t="s">
        <v>22</v>
      </c>
      <c r="I51" s="28" t="s">
        <v>21</v>
      </c>
      <c r="J51" s="64">
        <f>2982.9-9.9</f>
        <v>2973</v>
      </c>
      <c r="K51" s="64">
        <v>1543</v>
      </c>
      <c r="L51" s="64">
        <v>1087.7</v>
      </c>
      <c r="M51" s="65">
        <v>719.7</v>
      </c>
      <c r="N51" s="91">
        <v>396.9</v>
      </c>
      <c r="O51" s="91">
        <v>745</v>
      </c>
      <c r="P51" s="92">
        <v>760.2</v>
      </c>
      <c r="Q51" s="91">
        <v>745</v>
      </c>
      <c r="R51" s="91">
        <v>745</v>
      </c>
      <c r="S51" s="91">
        <v>745</v>
      </c>
      <c r="T51" s="91">
        <v>745</v>
      </c>
      <c r="U51" s="91">
        <v>937</v>
      </c>
      <c r="V51" s="91">
        <v>937</v>
      </c>
      <c r="W51" s="64">
        <f t="shared" si="12"/>
        <v>9907.5</v>
      </c>
      <c r="X51" s="28">
        <v>2024</v>
      </c>
      <c r="Y51" s="140">
        <f t="shared" si="8"/>
        <v>15.2</v>
      </c>
      <c r="Z51" s="141">
        <f t="shared" si="9"/>
        <v>0</v>
      </c>
      <c r="AA51" s="140">
        <f t="shared" si="10"/>
        <v>0</v>
      </c>
      <c r="AB51" s="140">
        <f t="shared" si="11"/>
        <v>0</v>
      </c>
    </row>
    <row r="52" spans="1:28" ht="89.25">
      <c r="A52" s="21" t="s">
        <v>19</v>
      </c>
      <c r="B52" s="22">
        <v>1</v>
      </c>
      <c r="C52" s="22">
        <v>1</v>
      </c>
      <c r="D52" s="22">
        <v>1</v>
      </c>
      <c r="E52" s="22">
        <v>0</v>
      </c>
      <c r="F52" s="22">
        <v>4</v>
      </c>
      <c r="G52" s="45"/>
      <c r="H52" s="46" t="s">
        <v>62</v>
      </c>
      <c r="I52" s="30" t="s">
        <v>21</v>
      </c>
      <c r="J52" s="70">
        <v>5.4</v>
      </c>
      <c r="K52" s="70">
        <f>1543/273</f>
        <v>5.7</v>
      </c>
      <c r="L52" s="70">
        <v>5.2</v>
      </c>
      <c r="M52" s="71">
        <v>5.1</v>
      </c>
      <c r="N52" s="72">
        <v>3.5</v>
      </c>
      <c r="O52" s="72">
        <v>5.7</v>
      </c>
      <c r="P52" s="110">
        <f>P51/131</f>
        <v>5.8</v>
      </c>
      <c r="Q52" s="72">
        <v>5.7</v>
      </c>
      <c r="R52" s="86">
        <v>5.7</v>
      </c>
      <c r="S52" s="86">
        <v>5.7</v>
      </c>
      <c r="T52" s="86">
        <v>5.7</v>
      </c>
      <c r="U52" s="86">
        <v>5.4</v>
      </c>
      <c r="V52" s="86">
        <f>V51/172</f>
        <v>5.4</v>
      </c>
      <c r="W52" s="70">
        <f t="shared" si="12"/>
        <v>47.5</v>
      </c>
      <c r="X52" s="30">
        <v>2024</v>
      </c>
      <c r="Y52" s="140">
        <f t="shared" si="8"/>
        <v>0.1</v>
      </c>
      <c r="Z52" s="141">
        <f t="shared" si="9"/>
        <v>0</v>
      </c>
      <c r="AA52" s="140">
        <f t="shared" si="10"/>
        <v>0</v>
      </c>
      <c r="AB52" s="140">
        <f t="shared" si="11"/>
        <v>0</v>
      </c>
    </row>
    <row r="53" spans="1:28" s="2" customFormat="1" ht="89.25">
      <c r="A53" s="47" t="s">
        <v>19</v>
      </c>
      <c r="B53" s="37">
        <v>1</v>
      </c>
      <c r="C53" s="37">
        <v>1</v>
      </c>
      <c r="D53" s="37">
        <v>1</v>
      </c>
      <c r="E53" s="37">
        <v>0</v>
      </c>
      <c r="F53" s="37">
        <v>5</v>
      </c>
      <c r="G53" s="37"/>
      <c r="H53" s="48" t="s">
        <v>63</v>
      </c>
      <c r="I53" s="37" t="s">
        <v>21</v>
      </c>
      <c r="J53" s="88">
        <f>J54</f>
        <v>3594.2</v>
      </c>
      <c r="K53" s="88">
        <f>K54</f>
        <v>3700.5</v>
      </c>
      <c r="L53" s="88">
        <f>L54</f>
        <v>3700.5</v>
      </c>
      <c r="M53" s="88">
        <f>M54</f>
        <v>4723.5</v>
      </c>
      <c r="N53" s="88">
        <f>N54</f>
        <v>4059.6</v>
      </c>
      <c r="O53" s="88">
        <v>4709.8</v>
      </c>
      <c r="P53" s="88">
        <f>P54</f>
        <v>4709.8</v>
      </c>
      <c r="Q53" s="88">
        <v>4709.8</v>
      </c>
      <c r="R53" s="88">
        <f>R54</f>
        <v>4709.8</v>
      </c>
      <c r="S53" s="88">
        <v>4709.8</v>
      </c>
      <c r="T53" s="88">
        <f>T54</f>
        <v>4709.8</v>
      </c>
      <c r="U53" s="88">
        <v>4697.3</v>
      </c>
      <c r="V53" s="88">
        <f>V54</f>
        <v>4697.3</v>
      </c>
      <c r="W53" s="88">
        <f t="shared" si="12"/>
        <v>38605</v>
      </c>
      <c r="X53" s="37">
        <v>2024</v>
      </c>
      <c r="Y53" s="140">
        <f t="shared" si="8"/>
        <v>0</v>
      </c>
      <c r="Z53" s="141">
        <f t="shared" si="9"/>
        <v>0</v>
      </c>
      <c r="AA53" s="140">
        <f t="shared" si="10"/>
        <v>0</v>
      </c>
      <c r="AB53" s="140">
        <f t="shared" si="11"/>
        <v>0</v>
      </c>
    </row>
    <row r="54" spans="1:28" s="2" customFormat="1" ht="12.75">
      <c r="A54" s="21" t="s">
        <v>19</v>
      </c>
      <c r="B54" s="22">
        <v>1</v>
      </c>
      <c r="C54" s="22">
        <v>1</v>
      </c>
      <c r="D54" s="22">
        <v>1</v>
      </c>
      <c r="E54" s="22">
        <v>0</v>
      </c>
      <c r="F54" s="22">
        <v>5</v>
      </c>
      <c r="G54" s="22">
        <v>3</v>
      </c>
      <c r="H54" s="26" t="s">
        <v>22</v>
      </c>
      <c r="I54" s="28" t="s">
        <v>21</v>
      </c>
      <c r="J54" s="64">
        <v>3594.2</v>
      </c>
      <c r="K54" s="64">
        <f>3700.5</f>
        <v>3700.5</v>
      </c>
      <c r="L54" s="64">
        <v>3700.5</v>
      </c>
      <c r="M54" s="65">
        <v>4723.5</v>
      </c>
      <c r="N54" s="91">
        <v>4059.6</v>
      </c>
      <c r="O54" s="91">
        <v>4709.8</v>
      </c>
      <c r="P54" s="91">
        <v>4709.8</v>
      </c>
      <c r="Q54" s="65">
        <v>4709.8</v>
      </c>
      <c r="R54" s="65">
        <v>4709.8</v>
      </c>
      <c r="S54" s="65">
        <v>4709.8</v>
      </c>
      <c r="T54" s="65">
        <v>4709.8</v>
      </c>
      <c r="U54" s="65">
        <v>4697.3</v>
      </c>
      <c r="V54" s="65">
        <v>4697.3</v>
      </c>
      <c r="W54" s="64">
        <f t="shared" si="12"/>
        <v>38605</v>
      </c>
      <c r="X54" s="28">
        <v>2024</v>
      </c>
      <c r="Y54" s="140">
        <f t="shared" si="8"/>
        <v>0</v>
      </c>
      <c r="Z54" s="141">
        <f t="shared" si="9"/>
        <v>0</v>
      </c>
      <c r="AA54" s="140">
        <f t="shared" si="10"/>
        <v>0</v>
      </c>
      <c r="AB54" s="140">
        <f t="shared" si="11"/>
        <v>0</v>
      </c>
    </row>
    <row r="55" spans="1:28" ht="51">
      <c r="A55" s="21" t="s">
        <v>19</v>
      </c>
      <c r="B55" s="22">
        <v>1</v>
      </c>
      <c r="C55" s="22">
        <v>1</v>
      </c>
      <c r="D55" s="22">
        <v>1</v>
      </c>
      <c r="E55" s="22">
        <v>0</v>
      </c>
      <c r="F55" s="22">
        <v>5</v>
      </c>
      <c r="G55" s="45"/>
      <c r="H55" s="46" t="s">
        <v>64</v>
      </c>
      <c r="I55" s="30" t="s">
        <v>48</v>
      </c>
      <c r="J55" s="105">
        <v>174</v>
      </c>
      <c r="K55" s="105">
        <v>195</v>
      </c>
      <c r="L55" s="105">
        <v>184</v>
      </c>
      <c r="M55" s="106">
        <v>186</v>
      </c>
      <c r="N55" s="107">
        <v>191</v>
      </c>
      <c r="O55" s="107">
        <v>195</v>
      </c>
      <c r="P55" s="108">
        <v>195</v>
      </c>
      <c r="Q55" s="107">
        <v>195</v>
      </c>
      <c r="R55" s="108">
        <v>195</v>
      </c>
      <c r="S55" s="107">
        <v>195</v>
      </c>
      <c r="T55" s="108">
        <v>195</v>
      </c>
      <c r="U55" s="107">
        <v>196</v>
      </c>
      <c r="V55" s="108">
        <v>196</v>
      </c>
      <c r="W55" s="93">
        <f>SUM(J55:V55)/9</f>
        <v>277</v>
      </c>
      <c r="X55" s="30">
        <v>2024</v>
      </c>
      <c r="Y55" s="140">
        <f t="shared" si="8"/>
        <v>0</v>
      </c>
      <c r="Z55" s="141">
        <f t="shared" si="9"/>
        <v>0</v>
      </c>
      <c r="AA55" s="140">
        <f t="shared" si="10"/>
        <v>0</v>
      </c>
      <c r="AB55" s="140">
        <f t="shared" si="11"/>
        <v>0</v>
      </c>
    </row>
    <row r="56" spans="1:28" s="2" customFormat="1" ht="63.75">
      <c r="A56" s="47" t="s">
        <v>19</v>
      </c>
      <c r="B56" s="37">
        <v>1</v>
      </c>
      <c r="C56" s="37">
        <v>1</v>
      </c>
      <c r="D56" s="37">
        <v>1</v>
      </c>
      <c r="E56" s="37">
        <v>0</v>
      </c>
      <c r="F56" s="37">
        <v>6</v>
      </c>
      <c r="G56" s="37"/>
      <c r="H56" s="40" t="s">
        <v>65</v>
      </c>
      <c r="I56" s="37" t="s">
        <v>21</v>
      </c>
      <c r="J56" s="88">
        <f>J57+J58</f>
        <v>7817.1</v>
      </c>
      <c r="K56" s="88">
        <f>K57+K58</f>
        <v>2082.4</v>
      </c>
      <c r="L56" s="88">
        <f>L57+L58</f>
        <v>2249.8</v>
      </c>
      <c r="M56" s="89">
        <f>M57+M58</f>
        <v>13297.2</v>
      </c>
      <c r="N56" s="89">
        <v>9581.2</v>
      </c>
      <c r="O56" s="89">
        <v>4991.4</v>
      </c>
      <c r="P56" s="90">
        <f>P57+P58</f>
        <v>10108.1</v>
      </c>
      <c r="Q56" s="89">
        <v>4991.4</v>
      </c>
      <c r="R56" s="113">
        <f>R57</f>
        <v>4991.4</v>
      </c>
      <c r="S56" s="113">
        <v>4991.4</v>
      </c>
      <c r="T56" s="113">
        <f>T57+T58</f>
        <v>4991.4</v>
      </c>
      <c r="U56" s="113">
        <v>6750.8</v>
      </c>
      <c r="V56" s="113">
        <f>V57+V58</f>
        <v>6750.8</v>
      </c>
      <c r="W56" s="88">
        <f>J56+K56+L56+M56+N56+P56+R56+T56+V56</f>
        <v>61869.4</v>
      </c>
      <c r="X56" s="37">
        <v>2024</v>
      </c>
      <c r="Y56" s="140">
        <f t="shared" si="8"/>
        <v>5116.7</v>
      </c>
      <c r="Z56" s="141">
        <f t="shared" si="9"/>
        <v>0</v>
      </c>
      <c r="AA56" s="140">
        <f t="shared" si="10"/>
        <v>0</v>
      </c>
      <c r="AB56" s="140">
        <f t="shared" si="11"/>
        <v>0</v>
      </c>
    </row>
    <row r="57" spans="1:28" s="2" customFormat="1" ht="12.75">
      <c r="A57" s="21" t="s">
        <v>19</v>
      </c>
      <c r="B57" s="22">
        <v>1</v>
      </c>
      <c r="C57" s="22">
        <v>1</v>
      </c>
      <c r="D57" s="22">
        <v>1</v>
      </c>
      <c r="E57" s="22">
        <v>0</v>
      </c>
      <c r="F57" s="22">
        <v>6</v>
      </c>
      <c r="G57" s="22">
        <v>3</v>
      </c>
      <c r="H57" s="26" t="s">
        <v>22</v>
      </c>
      <c r="I57" s="22" t="s">
        <v>21</v>
      </c>
      <c r="J57" s="64">
        <v>7466.6</v>
      </c>
      <c r="K57" s="64">
        <v>1734.6</v>
      </c>
      <c r="L57" s="64">
        <v>2249.8</v>
      </c>
      <c r="M57" s="65">
        <v>8059.5</v>
      </c>
      <c r="N57" s="91">
        <v>6652.8</v>
      </c>
      <c r="O57" s="91">
        <v>4991.4</v>
      </c>
      <c r="P57" s="92">
        <v>5364.2</v>
      </c>
      <c r="Q57" s="91">
        <v>4991.4</v>
      </c>
      <c r="R57" s="114">
        <v>4991.4</v>
      </c>
      <c r="S57" s="114">
        <v>4991.4</v>
      </c>
      <c r="T57" s="114">
        <v>4991.4</v>
      </c>
      <c r="U57" s="132">
        <v>6750.8</v>
      </c>
      <c r="V57" s="132">
        <v>6750.8</v>
      </c>
      <c r="W57" s="64">
        <f>J57+K57+L57+M57+N57+P57+R57+T57+V57</f>
        <v>48261.1</v>
      </c>
      <c r="X57" s="28">
        <v>2024</v>
      </c>
      <c r="Y57" s="140">
        <f t="shared" si="8"/>
        <v>372.8</v>
      </c>
      <c r="Z57" s="141">
        <f t="shared" si="9"/>
        <v>0</v>
      </c>
      <c r="AA57" s="140">
        <f t="shared" si="10"/>
        <v>0</v>
      </c>
      <c r="AB57" s="140">
        <f t="shared" si="11"/>
        <v>0</v>
      </c>
    </row>
    <row r="58" spans="1:28" s="2" customFormat="1" ht="12.75">
      <c r="A58" s="21" t="s">
        <v>19</v>
      </c>
      <c r="B58" s="22">
        <v>1</v>
      </c>
      <c r="C58" s="22">
        <v>1</v>
      </c>
      <c r="D58" s="22">
        <v>1</v>
      </c>
      <c r="E58" s="22">
        <v>0</v>
      </c>
      <c r="F58" s="22">
        <v>6</v>
      </c>
      <c r="G58" s="22">
        <v>2</v>
      </c>
      <c r="H58" s="26" t="s">
        <v>23</v>
      </c>
      <c r="I58" s="22" t="s">
        <v>21</v>
      </c>
      <c r="J58" s="64">
        <v>350.5</v>
      </c>
      <c r="K58" s="64">
        <v>347.8</v>
      </c>
      <c r="L58" s="64">
        <v>0</v>
      </c>
      <c r="M58" s="65">
        <v>5237.7</v>
      </c>
      <c r="N58" s="91">
        <v>2928.4</v>
      </c>
      <c r="O58" s="91">
        <v>0</v>
      </c>
      <c r="P58" s="92">
        <v>4743.9</v>
      </c>
      <c r="Q58" s="65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0</v>
      </c>
      <c r="W58" s="64">
        <f>J58+K58+L58+M58+N58+P58+R58+T58+V58</f>
        <v>13608.3</v>
      </c>
      <c r="X58" s="133">
        <v>2021</v>
      </c>
      <c r="Y58" s="140">
        <f t="shared" si="8"/>
        <v>4743.9</v>
      </c>
      <c r="Z58" s="141">
        <f t="shared" si="9"/>
        <v>0</v>
      </c>
      <c r="AA58" s="140">
        <f t="shared" si="10"/>
        <v>0</v>
      </c>
      <c r="AB58" s="140">
        <f t="shared" si="11"/>
        <v>0</v>
      </c>
    </row>
    <row r="59" spans="1:28" ht="51">
      <c r="A59" s="21" t="s">
        <v>19</v>
      </c>
      <c r="B59" s="22">
        <v>1</v>
      </c>
      <c r="C59" s="22">
        <v>1</v>
      </c>
      <c r="D59" s="22">
        <v>1</v>
      </c>
      <c r="E59" s="22">
        <v>0</v>
      </c>
      <c r="F59" s="22">
        <v>6</v>
      </c>
      <c r="G59" s="22"/>
      <c r="H59" s="46" t="s">
        <v>66</v>
      </c>
      <c r="I59" s="43" t="s">
        <v>67</v>
      </c>
      <c r="J59" s="93">
        <v>2</v>
      </c>
      <c r="K59" s="93">
        <v>4</v>
      </c>
      <c r="L59" s="93">
        <v>3</v>
      </c>
      <c r="M59" s="94">
        <v>12</v>
      </c>
      <c r="N59" s="95">
        <v>15</v>
      </c>
      <c r="O59" s="95">
        <v>7</v>
      </c>
      <c r="P59" s="111">
        <v>8</v>
      </c>
      <c r="Q59" s="94">
        <v>5</v>
      </c>
      <c r="R59" s="127">
        <v>5</v>
      </c>
      <c r="S59" s="127">
        <v>5</v>
      </c>
      <c r="T59" s="127">
        <v>5</v>
      </c>
      <c r="U59" s="127">
        <v>5</v>
      </c>
      <c r="V59" s="127">
        <v>5</v>
      </c>
      <c r="W59" s="134">
        <v>5</v>
      </c>
      <c r="X59" s="30">
        <v>2024</v>
      </c>
      <c r="Y59" s="140">
        <f t="shared" si="8"/>
        <v>1</v>
      </c>
      <c r="Z59" s="141">
        <f t="shared" si="9"/>
        <v>0</v>
      </c>
      <c r="AA59" s="140">
        <f t="shared" si="10"/>
        <v>0</v>
      </c>
      <c r="AB59" s="140">
        <f t="shared" si="11"/>
        <v>0</v>
      </c>
    </row>
    <row r="60" spans="1:28" ht="63.75">
      <c r="A60" s="21" t="s">
        <v>19</v>
      </c>
      <c r="B60" s="22">
        <v>1</v>
      </c>
      <c r="C60" s="22">
        <v>1</v>
      </c>
      <c r="D60" s="22">
        <v>1</v>
      </c>
      <c r="E60" s="22">
        <v>0</v>
      </c>
      <c r="F60" s="22">
        <v>6</v>
      </c>
      <c r="G60" s="22"/>
      <c r="H60" s="46" t="s">
        <v>68</v>
      </c>
      <c r="I60" s="43" t="s">
        <v>67</v>
      </c>
      <c r="J60" s="93">
        <v>5</v>
      </c>
      <c r="K60" s="93">
        <v>2</v>
      </c>
      <c r="L60" s="93">
        <v>0</v>
      </c>
      <c r="M60" s="94">
        <v>5</v>
      </c>
      <c r="N60" s="95">
        <v>0</v>
      </c>
      <c r="O60" s="95">
        <v>0</v>
      </c>
      <c r="P60" s="111">
        <v>2</v>
      </c>
      <c r="Q60" s="94">
        <v>0</v>
      </c>
      <c r="R60" s="127">
        <v>0</v>
      </c>
      <c r="S60" s="127">
        <v>0</v>
      </c>
      <c r="T60" s="127">
        <v>0</v>
      </c>
      <c r="U60" s="127">
        <v>5</v>
      </c>
      <c r="V60" s="127">
        <v>5</v>
      </c>
      <c r="W60" s="134">
        <v>5</v>
      </c>
      <c r="X60" s="135">
        <v>2024</v>
      </c>
      <c r="Y60" s="140">
        <f t="shared" si="8"/>
        <v>2</v>
      </c>
      <c r="Z60" s="141">
        <f t="shared" si="9"/>
        <v>0</v>
      </c>
      <c r="AA60" s="140">
        <f t="shared" si="10"/>
        <v>0</v>
      </c>
      <c r="AB60" s="140">
        <f t="shared" si="11"/>
        <v>0</v>
      </c>
    </row>
    <row r="61" spans="1:28" ht="51">
      <c r="A61" s="21" t="s">
        <v>19</v>
      </c>
      <c r="B61" s="22">
        <v>1</v>
      </c>
      <c r="C61" s="22">
        <v>1</v>
      </c>
      <c r="D61" s="22">
        <v>1</v>
      </c>
      <c r="E61" s="22">
        <v>0</v>
      </c>
      <c r="F61" s="22">
        <v>6</v>
      </c>
      <c r="G61" s="22"/>
      <c r="H61" s="46" t="s">
        <v>69</v>
      </c>
      <c r="I61" s="43" t="s">
        <v>67</v>
      </c>
      <c r="J61" s="93">
        <v>8</v>
      </c>
      <c r="K61" s="93">
        <v>2</v>
      </c>
      <c r="L61" s="93">
        <v>29</v>
      </c>
      <c r="M61" s="94">
        <v>29</v>
      </c>
      <c r="N61" s="95">
        <v>1</v>
      </c>
      <c r="O61" s="95">
        <v>0</v>
      </c>
      <c r="P61" s="111">
        <v>13</v>
      </c>
      <c r="Q61" s="95">
        <v>0</v>
      </c>
      <c r="R61" s="96">
        <v>0</v>
      </c>
      <c r="S61" s="96">
        <v>0</v>
      </c>
      <c r="T61" s="96">
        <v>0</v>
      </c>
      <c r="U61" s="96">
        <v>29</v>
      </c>
      <c r="V61" s="96">
        <v>29</v>
      </c>
      <c r="W61" s="134">
        <v>29</v>
      </c>
      <c r="X61" s="135">
        <v>2024</v>
      </c>
      <c r="Y61" s="140">
        <f t="shared" si="8"/>
        <v>13</v>
      </c>
      <c r="Z61" s="141">
        <f t="shared" si="9"/>
        <v>0</v>
      </c>
      <c r="AA61" s="140">
        <f t="shared" si="10"/>
        <v>0</v>
      </c>
      <c r="AB61" s="140">
        <f t="shared" si="11"/>
        <v>0</v>
      </c>
    </row>
    <row r="62" spans="1:28" ht="87" customHeight="1">
      <c r="A62" s="21" t="s">
        <v>19</v>
      </c>
      <c r="B62" s="22">
        <v>1</v>
      </c>
      <c r="C62" s="22">
        <v>1</v>
      </c>
      <c r="D62" s="22">
        <v>1</v>
      </c>
      <c r="E62" s="22">
        <v>0</v>
      </c>
      <c r="F62" s="22">
        <v>6</v>
      </c>
      <c r="G62" s="43"/>
      <c r="H62" s="46" t="s">
        <v>70</v>
      </c>
      <c r="I62" s="43" t="s">
        <v>57</v>
      </c>
      <c r="J62" s="105">
        <v>28</v>
      </c>
      <c r="K62" s="105">
        <v>8</v>
      </c>
      <c r="L62" s="105">
        <v>0</v>
      </c>
      <c r="M62" s="106">
        <v>0</v>
      </c>
      <c r="N62" s="107">
        <v>0</v>
      </c>
      <c r="O62" s="107">
        <v>0</v>
      </c>
      <c r="P62" s="112">
        <v>0</v>
      </c>
      <c r="Q62" s="106">
        <v>0</v>
      </c>
      <c r="R62" s="136">
        <v>0</v>
      </c>
      <c r="S62" s="136">
        <v>0</v>
      </c>
      <c r="T62" s="136">
        <v>0</v>
      </c>
      <c r="U62" s="136">
        <v>0</v>
      </c>
      <c r="V62" s="136">
        <v>0</v>
      </c>
      <c r="W62" s="137">
        <v>28</v>
      </c>
      <c r="X62" s="137">
        <v>2017</v>
      </c>
      <c r="Y62" s="140">
        <f t="shared" si="8"/>
        <v>0</v>
      </c>
      <c r="Z62" s="141">
        <f t="shared" si="9"/>
        <v>0</v>
      </c>
      <c r="AA62" s="140">
        <f t="shared" si="10"/>
        <v>0</v>
      </c>
      <c r="AB62" s="140">
        <f t="shared" si="11"/>
        <v>0</v>
      </c>
    </row>
    <row r="63" spans="1:28" s="2" customFormat="1" ht="63.75">
      <c r="A63" s="36" t="s">
        <v>19</v>
      </c>
      <c r="B63" s="37">
        <v>1</v>
      </c>
      <c r="C63" s="37">
        <v>1</v>
      </c>
      <c r="D63" s="37">
        <v>1</v>
      </c>
      <c r="E63" s="37">
        <v>0</v>
      </c>
      <c r="F63" s="37">
        <v>7</v>
      </c>
      <c r="G63" s="37"/>
      <c r="H63" s="40" t="s">
        <v>71</v>
      </c>
      <c r="I63" s="37" t="s">
        <v>21</v>
      </c>
      <c r="J63" s="88">
        <f aca="true" t="shared" si="13" ref="J63:W63">J64</f>
        <v>25</v>
      </c>
      <c r="K63" s="88">
        <f t="shared" si="13"/>
        <v>25</v>
      </c>
      <c r="L63" s="88">
        <f t="shared" si="13"/>
        <v>25</v>
      </c>
      <c r="M63" s="89">
        <f t="shared" si="13"/>
        <v>25</v>
      </c>
      <c r="N63" s="89">
        <v>25</v>
      </c>
      <c r="O63" s="89">
        <v>25</v>
      </c>
      <c r="P63" s="113">
        <f t="shared" si="13"/>
        <v>25</v>
      </c>
      <c r="Q63" s="113">
        <v>25</v>
      </c>
      <c r="R63" s="113">
        <f t="shared" si="13"/>
        <v>25</v>
      </c>
      <c r="S63" s="113">
        <v>25</v>
      </c>
      <c r="T63" s="113">
        <f t="shared" si="13"/>
        <v>25</v>
      </c>
      <c r="U63" s="113">
        <v>25</v>
      </c>
      <c r="V63" s="113">
        <f t="shared" si="13"/>
        <v>25</v>
      </c>
      <c r="W63" s="89">
        <f t="shared" si="13"/>
        <v>225</v>
      </c>
      <c r="X63" s="37">
        <v>2024</v>
      </c>
      <c r="Y63" s="140">
        <f t="shared" si="8"/>
        <v>0</v>
      </c>
      <c r="Z63" s="141">
        <f t="shared" si="9"/>
        <v>0</v>
      </c>
      <c r="AA63" s="140">
        <f t="shared" si="10"/>
        <v>0</v>
      </c>
      <c r="AB63" s="140">
        <f t="shared" si="11"/>
        <v>0</v>
      </c>
    </row>
    <row r="64" spans="1:28" s="2" customFormat="1" ht="12.75">
      <c r="A64" s="21" t="s">
        <v>19</v>
      </c>
      <c r="B64" s="22">
        <v>1</v>
      </c>
      <c r="C64" s="22">
        <v>1</v>
      </c>
      <c r="D64" s="22">
        <v>1</v>
      </c>
      <c r="E64" s="22">
        <v>0</v>
      </c>
      <c r="F64" s="22">
        <v>7</v>
      </c>
      <c r="G64" s="22">
        <v>3</v>
      </c>
      <c r="H64" s="26" t="s">
        <v>22</v>
      </c>
      <c r="I64" s="22" t="s">
        <v>21</v>
      </c>
      <c r="J64" s="64">
        <v>25</v>
      </c>
      <c r="K64" s="64">
        <v>25</v>
      </c>
      <c r="L64" s="64">
        <v>25</v>
      </c>
      <c r="M64" s="65">
        <v>25</v>
      </c>
      <c r="N64" s="91">
        <v>25</v>
      </c>
      <c r="O64" s="91">
        <v>25</v>
      </c>
      <c r="P64" s="114">
        <v>25</v>
      </c>
      <c r="Q64" s="132">
        <v>25</v>
      </c>
      <c r="R64" s="132">
        <v>25</v>
      </c>
      <c r="S64" s="132">
        <v>25</v>
      </c>
      <c r="T64" s="132">
        <v>25</v>
      </c>
      <c r="U64" s="132">
        <v>25</v>
      </c>
      <c r="V64" s="132">
        <v>25</v>
      </c>
      <c r="W64" s="138">
        <f>J64+K64+L64+M64+N64+P64+R64+T64+V64</f>
        <v>225</v>
      </c>
      <c r="X64" s="28">
        <v>2024</v>
      </c>
      <c r="Y64" s="140">
        <f t="shared" si="8"/>
        <v>0</v>
      </c>
      <c r="Z64" s="141">
        <f t="shared" si="9"/>
        <v>0</v>
      </c>
      <c r="AA64" s="140">
        <f t="shared" si="10"/>
        <v>0</v>
      </c>
      <c r="AB64" s="140">
        <f t="shared" si="11"/>
        <v>0</v>
      </c>
    </row>
    <row r="65" spans="1:28" ht="76.5">
      <c r="A65" s="21" t="s">
        <v>19</v>
      </c>
      <c r="B65" s="22">
        <v>1</v>
      </c>
      <c r="C65" s="22">
        <v>1</v>
      </c>
      <c r="D65" s="22">
        <v>1</v>
      </c>
      <c r="E65" s="22">
        <v>0</v>
      </c>
      <c r="F65" s="22">
        <v>7</v>
      </c>
      <c r="G65" s="43"/>
      <c r="H65" s="46" t="s">
        <v>72</v>
      </c>
      <c r="I65" s="43" t="s">
        <v>28</v>
      </c>
      <c r="J65" s="70">
        <v>7</v>
      </c>
      <c r="K65" s="70">
        <v>3</v>
      </c>
      <c r="L65" s="70">
        <v>3</v>
      </c>
      <c r="M65" s="71">
        <v>3.5</v>
      </c>
      <c r="N65" s="72">
        <v>3.5</v>
      </c>
      <c r="O65" s="72">
        <v>3.5</v>
      </c>
      <c r="P65" s="73">
        <v>3.5</v>
      </c>
      <c r="Q65" s="119">
        <v>3.5</v>
      </c>
      <c r="R65" s="119">
        <v>3.5</v>
      </c>
      <c r="S65" s="119">
        <v>3</v>
      </c>
      <c r="T65" s="119">
        <v>3</v>
      </c>
      <c r="U65" s="119">
        <v>3</v>
      </c>
      <c r="V65" s="119">
        <v>3</v>
      </c>
      <c r="W65" s="70">
        <v>3</v>
      </c>
      <c r="X65" s="30">
        <v>2024</v>
      </c>
      <c r="Y65" s="140">
        <f t="shared" si="8"/>
        <v>0</v>
      </c>
      <c r="Z65" s="141">
        <f t="shared" si="9"/>
        <v>0</v>
      </c>
      <c r="AA65" s="140">
        <f t="shared" si="10"/>
        <v>0</v>
      </c>
      <c r="AB65" s="140">
        <f t="shared" si="11"/>
        <v>0</v>
      </c>
    </row>
    <row r="66" spans="1:28" ht="63.75">
      <c r="A66" s="21" t="s">
        <v>19</v>
      </c>
      <c r="B66" s="22">
        <v>1</v>
      </c>
      <c r="C66" s="22">
        <v>1</v>
      </c>
      <c r="D66" s="22">
        <v>1</v>
      </c>
      <c r="E66" s="22">
        <v>0</v>
      </c>
      <c r="F66" s="22">
        <v>7</v>
      </c>
      <c r="G66" s="43"/>
      <c r="H66" s="46" t="s">
        <v>73</v>
      </c>
      <c r="I66" s="43" t="s">
        <v>57</v>
      </c>
      <c r="J66" s="99">
        <v>0</v>
      </c>
      <c r="K66" s="99">
        <v>0</v>
      </c>
      <c r="L66" s="99">
        <v>3</v>
      </c>
      <c r="M66" s="163">
        <v>8</v>
      </c>
      <c r="N66" s="100">
        <v>20</v>
      </c>
      <c r="O66" s="100">
        <v>25</v>
      </c>
      <c r="P66" s="164">
        <v>25</v>
      </c>
      <c r="Q66" s="193">
        <v>3</v>
      </c>
      <c r="R66" s="193">
        <v>3</v>
      </c>
      <c r="S66" s="193">
        <v>3</v>
      </c>
      <c r="T66" s="193">
        <v>3</v>
      </c>
      <c r="U66" s="193">
        <v>3</v>
      </c>
      <c r="V66" s="193">
        <v>3</v>
      </c>
      <c r="W66" s="99">
        <f aca="true" t="shared" si="14" ref="W66:W73">J66+K66+L66+M66+N66+P66+R66+T66+V66</f>
        <v>65</v>
      </c>
      <c r="X66" s="30">
        <v>2024</v>
      </c>
      <c r="Y66" s="140">
        <f t="shared" si="8"/>
        <v>0</v>
      </c>
      <c r="Z66" s="141">
        <f t="shared" si="9"/>
        <v>0</v>
      </c>
      <c r="AA66" s="140">
        <f t="shared" si="10"/>
        <v>0</v>
      </c>
      <c r="AB66" s="140">
        <f t="shared" si="11"/>
        <v>0</v>
      </c>
    </row>
    <row r="67" spans="1:28" s="3" customFormat="1" ht="63.75">
      <c r="A67" s="144" t="s">
        <v>19</v>
      </c>
      <c r="B67" s="145">
        <v>1</v>
      </c>
      <c r="C67" s="145">
        <v>1</v>
      </c>
      <c r="D67" s="145">
        <v>1</v>
      </c>
      <c r="E67" s="145">
        <v>0</v>
      </c>
      <c r="F67" s="145">
        <v>8</v>
      </c>
      <c r="G67" s="145"/>
      <c r="H67" s="390" t="s">
        <v>460</v>
      </c>
      <c r="I67" s="145" t="s">
        <v>21</v>
      </c>
      <c r="J67" s="109">
        <f>J68</f>
        <v>0</v>
      </c>
      <c r="K67" s="109">
        <f aca="true" t="shared" si="15" ref="K67:V67">K68</f>
        <v>0</v>
      </c>
      <c r="L67" s="109">
        <f t="shared" si="15"/>
        <v>0</v>
      </c>
      <c r="M67" s="109">
        <f t="shared" si="15"/>
        <v>0</v>
      </c>
      <c r="N67" s="109">
        <f t="shared" si="15"/>
        <v>0</v>
      </c>
      <c r="O67" s="88">
        <f t="shared" si="15"/>
        <v>0</v>
      </c>
      <c r="P67" s="109">
        <f t="shared" si="15"/>
        <v>401.3</v>
      </c>
      <c r="Q67" s="88">
        <f t="shared" si="15"/>
        <v>0</v>
      </c>
      <c r="R67" s="109">
        <f t="shared" si="15"/>
        <v>0</v>
      </c>
      <c r="S67" s="88">
        <f t="shared" si="15"/>
        <v>0</v>
      </c>
      <c r="T67" s="109">
        <f t="shared" si="15"/>
        <v>0</v>
      </c>
      <c r="U67" s="88">
        <f t="shared" si="15"/>
        <v>0</v>
      </c>
      <c r="V67" s="109">
        <f t="shared" si="15"/>
        <v>0</v>
      </c>
      <c r="W67" s="90">
        <f t="shared" si="14"/>
        <v>401.3</v>
      </c>
      <c r="X67" s="145">
        <v>2021</v>
      </c>
      <c r="Y67" s="202"/>
      <c r="Z67" s="203"/>
      <c r="AA67" s="202"/>
      <c r="AB67" s="202"/>
    </row>
    <row r="68" spans="1:28" s="4" customFormat="1" ht="12.75">
      <c r="A68" s="147" t="s">
        <v>19</v>
      </c>
      <c r="B68" s="148">
        <v>1</v>
      </c>
      <c r="C68" s="148">
        <v>1</v>
      </c>
      <c r="D68" s="148">
        <v>1</v>
      </c>
      <c r="E68" s="148">
        <v>0</v>
      </c>
      <c r="F68" s="148">
        <v>8</v>
      </c>
      <c r="G68" s="148">
        <v>3</v>
      </c>
      <c r="H68" s="149" t="s">
        <v>22</v>
      </c>
      <c r="I68" s="148" t="s">
        <v>21</v>
      </c>
      <c r="J68" s="165"/>
      <c r="K68" s="165"/>
      <c r="L68" s="165"/>
      <c r="M68" s="166"/>
      <c r="N68" s="103"/>
      <c r="O68" s="100"/>
      <c r="P68" s="103">
        <v>401.3</v>
      </c>
      <c r="Q68" s="163"/>
      <c r="R68" s="166"/>
      <c r="S68" s="163"/>
      <c r="T68" s="166"/>
      <c r="U68" s="163"/>
      <c r="V68" s="166"/>
      <c r="W68" s="165">
        <f t="shared" si="14"/>
        <v>401.3</v>
      </c>
      <c r="X68" s="194">
        <v>2021</v>
      </c>
      <c r="Y68" s="202"/>
      <c r="Z68" s="203"/>
      <c r="AA68" s="202"/>
      <c r="AB68" s="202"/>
    </row>
    <row r="69" spans="1:28" s="4" customFormat="1" ht="15" customHeight="1">
      <c r="A69" s="148" t="s">
        <v>19</v>
      </c>
      <c r="B69" s="148">
        <v>1</v>
      </c>
      <c r="C69" s="148">
        <v>1</v>
      </c>
      <c r="D69" s="148">
        <v>1</v>
      </c>
      <c r="E69" s="148">
        <v>0</v>
      </c>
      <c r="F69" s="148">
        <v>8</v>
      </c>
      <c r="G69" s="150"/>
      <c r="H69" s="151" t="s">
        <v>74</v>
      </c>
      <c r="I69" s="167" t="s">
        <v>57</v>
      </c>
      <c r="J69" s="168"/>
      <c r="K69" s="168"/>
      <c r="L69" s="168"/>
      <c r="M69" s="169"/>
      <c r="N69" s="170"/>
      <c r="O69" s="170"/>
      <c r="P69" s="170">
        <v>1</v>
      </c>
      <c r="Q69" s="163"/>
      <c r="R69" s="166"/>
      <c r="S69" s="163"/>
      <c r="T69" s="166"/>
      <c r="U69" s="163"/>
      <c r="V69" s="166"/>
      <c r="W69" s="165">
        <f t="shared" si="14"/>
        <v>1</v>
      </c>
      <c r="X69" s="194">
        <v>2021</v>
      </c>
      <c r="Y69" s="202"/>
      <c r="Z69" s="203"/>
      <c r="AA69" s="202"/>
      <c r="AB69" s="202"/>
    </row>
    <row r="70" spans="1:28" s="2" customFormat="1" ht="34.5" customHeight="1">
      <c r="A70" s="152" t="s">
        <v>19</v>
      </c>
      <c r="B70" s="34">
        <v>1</v>
      </c>
      <c r="C70" s="34">
        <v>1</v>
      </c>
      <c r="D70" s="34">
        <v>2</v>
      </c>
      <c r="E70" s="34">
        <v>0</v>
      </c>
      <c r="F70" s="34">
        <v>0</v>
      </c>
      <c r="G70" s="34"/>
      <c r="H70" s="35" t="s">
        <v>75</v>
      </c>
      <c r="I70" s="34" t="s">
        <v>21</v>
      </c>
      <c r="J70" s="82">
        <f aca="true" t="shared" si="16" ref="J70:V70">J71+J72+J73</f>
        <v>1267029.1</v>
      </c>
      <c r="K70" s="82">
        <f t="shared" si="16"/>
        <v>1278139.6</v>
      </c>
      <c r="L70" s="82">
        <f t="shared" si="16"/>
        <v>1436722.5</v>
      </c>
      <c r="M70" s="82">
        <f t="shared" si="16"/>
        <v>1585187.6</v>
      </c>
      <c r="N70" s="82">
        <v>1801090.7</v>
      </c>
      <c r="O70" s="82">
        <v>2032571.5</v>
      </c>
      <c r="P70" s="83">
        <f t="shared" si="16"/>
        <v>1997289.5</v>
      </c>
      <c r="Q70" s="82">
        <v>2082415.6</v>
      </c>
      <c r="R70" s="122">
        <f t="shared" si="16"/>
        <v>2082415.6</v>
      </c>
      <c r="S70" s="122">
        <v>2153397.6</v>
      </c>
      <c r="T70" s="122">
        <f t="shared" si="16"/>
        <v>2153397.6</v>
      </c>
      <c r="U70" s="122">
        <v>1747953.2</v>
      </c>
      <c r="V70" s="122">
        <f t="shared" si="16"/>
        <v>1747953.2</v>
      </c>
      <c r="W70" s="123">
        <f t="shared" si="14"/>
        <v>15349225.4</v>
      </c>
      <c r="X70" s="34">
        <v>2024</v>
      </c>
      <c r="Y70" s="140">
        <f t="shared" si="8"/>
        <v>-35282</v>
      </c>
      <c r="Z70" s="141">
        <f t="shared" si="9"/>
        <v>0</v>
      </c>
      <c r="AA70" s="140">
        <f t="shared" si="10"/>
        <v>0</v>
      </c>
      <c r="AB70" s="140">
        <f t="shared" si="11"/>
        <v>0</v>
      </c>
    </row>
    <row r="71" spans="1:28" s="2" customFormat="1" ht="12.75">
      <c r="A71" s="57" t="s">
        <v>19</v>
      </c>
      <c r="B71" s="22">
        <v>1</v>
      </c>
      <c r="C71" s="22">
        <v>1</v>
      </c>
      <c r="D71" s="22">
        <v>2</v>
      </c>
      <c r="E71" s="22">
        <v>0</v>
      </c>
      <c r="F71" s="22">
        <v>0</v>
      </c>
      <c r="G71" s="22">
        <v>3</v>
      </c>
      <c r="H71" s="26" t="s">
        <v>22</v>
      </c>
      <c r="I71" s="22" t="s">
        <v>21</v>
      </c>
      <c r="J71" s="64">
        <v>298339.8</v>
      </c>
      <c r="K71" s="64">
        <f>K80+K91+K99</f>
        <v>300286.1</v>
      </c>
      <c r="L71" s="64">
        <f>L80+L91+L99</f>
        <v>330533.9</v>
      </c>
      <c r="M71" s="65">
        <f>M80+M91+M99</f>
        <v>401689.9</v>
      </c>
      <c r="N71" s="65">
        <v>385369.2</v>
      </c>
      <c r="O71" s="65">
        <v>375318.7</v>
      </c>
      <c r="P71" s="85">
        <f>P80+P91+P99+P109</f>
        <v>381952.7</v>
      </c>
      <c r="Q71" s="186">
        <f aca="true" t="shared" si="17" ref="Q71:V71">Q80+Q91+Q99+Q109</f>
        <v>375050</v>
      </c>
      <c r="R71" s="66">
        <f t="shared" si="17"/>
        <v>375050</v>
      </c>
      <c r="S71" s="66">
        <f t="shared" si="17"/>
        <v>375091.4</v>
      </c>
      <c r="T71" s="66">
        <f t="shared" si="17"/>
        <v>375091.4</v>
      </c>
      <c r="U71" s="66">
        <f t="shared" si="17"/>
        <v>404443.4</v>
      </c>
      <c r="V71" s="66">
        <f t="shared" si="17"/>
        <v>404443.4</v>
      </c>
      <c r="W71" s="84">
        <f t="shared" si="14"/>
        <v>3252756.4</v>
      </c>
      <c r="X71" s="28">
        <v>2024</v>
      </c>
      <c r="Y71" s="140">
        <f t="shared" si="8"/>
        <v>6634</v>
      </c>
      <c r="Z71" s="141">
        <f t="shared" si="9"/>
        <v>0</v>
      </c>
      <c r="AA71" s="140">
        <f t="shared" si="10"/>
        <v>0</v>
      </c>
      <c r="AB71" s="140">
        <f t="shared" si="11"/>
        <v>0</v>
      </c>
    </row>
    <row r="72" spans="1:28" s="2" customFormat="1" ht="12.75">
      <c r="A72" s="57" t="s">
        <v>19</v>
      </c>
      <c r="B72" s="22">
        <v>1</v>
      </c>
      <c r="C72" s="22">
        <v>1</v>
      </c>
      <c r="D72" s="22">
        <v>2</v>
      </c>
      <c r="E72" s="22">
        <v>0</v>
      </c>
      <c r="F72" s="22">
        <v>0</v>
      </c>
      <c r="G72" s="22">
        <v>2</v>
      </c>
      <c r="H72" s="26" t="s">
        <v>23</v>
      </c>
      <c r="I72" s="22" t="s">
        <v>21</v>
      </c>
      <c r="J72" s="64">
        <f>J81</f>
        <v>968689.3</v>
      </c>
      <c r="K72" s="64">
        <f>K81</f>
        <v>977853.5</v>
      </c>
      <c r="L72" s="64">
        <f>L81+L100</f>
        <v>1106188.6</v>
      </c>
      <c r="M72" s="65">
        <f>M81+M100</f>
        <v>1183497.7</v>
      </c>
      <c r="N72" s="65">
        <v>1328020.9</v>
      </c>
      <c r="O72" s="65">
        <v>1423863.7</v>
      </c>
      <c r="P72" s="85">
        <f>P81+P100+P92</f>
        <v>1381947.7</v>
      </c>
      <c r="Q72" s="65">
        <v>1469832.7</v>
      </c>
      <c r="R72" s="66">
        <f>R81+R100+R92</f>
        <v>1469832.7</v>
      </c>
      <c r="S72" s="66">
        <v>1540335</v>
      </c>
      <c r="T72" s="66">
        <f>T81+T100+T92</f>
        <v>1540335</v>
      </c>
      <c r="U72" s="66">
        <v>1343509.8</v>
      </c>
      <c r="V72" s="66">
        <f>V81+V100+V92</f>
        <v>1343509.8</v>
      </c>
      <c r="W72" s="84">
        <f t="shared" si="14"/>
        <v>11299875.2</v>
      </c>
      <c r="X72" s="28">
        <v>2024</v>
      </c>
      <c r="Y72" s="140">
        <f t="shared" si="8"/>
        <v>-41916</v>
      </c>
      <c r="Z72" s="141">
        <f t="shared" si="9"/>
        <v>0</v>
      </c>
      <c r="AA72" s="140">
        <f t="shared" si="10"/>
        <v>0</v>
      </c>
      <c r="AB72" s="140">
        <f t="shared" si="11"/>
        <v>0</v>
      </c>
    </row>
    <row r="73" spans="1:28" s="2" customFormat="1" ht="12.75">
      <c r="A73" s="18"/>
      <c r="B73" s="22"/>
      <c r="C73" s="22"/>
      <c r="D73" s="22"/>
      <c r="E73" s="22"/>
      <c r="F73" s="22"/>
      <c r="G73" s="22"/>
      <c r="H73" s="26" t="s">
        <v>24</v>
      </c>
      <c r="I73" s="22"/>
      <c r="J73" s="65">
        <f>J82+J93+J106</f>
        <v>0</v>
      </c>
      <c r="K73" s="65">
        <f>K82+K93+K106</f>
        <v>0</v>
      </c>
      <c r="L73" s="65">
        <f>L82+L93+L106</f>
        <v>0</v>
      </c>
      <c r="M73" s="65">
        <f>M82+M93+M106</f>
        <v>0</v>
      </c>
      <c r="N73" s="65">
        <f>N82+N93+N106</f>
        <v>87700.6</v>
      </c>
      <c r="O73" s="65">
        <v>233389.1</v>
      </c>
      <c r="P73" s="66">
        <f>P82+P93+P106</f>
        <v>233389.1</v>
      </c>
      <c r="Q73" s="186">
        <f aca="true" t="shared" si="18" ref="Q73:V73">Q82+Q93+Q106</f>
        <v>237532.9</v>
      </c>
      <c r="R73" s="66">
        <f t="shared" si="18"/>
        <v>237532.9</v>
      </c>
      <c r="S73" s="66">
        <f t="shared" si="18"/>
        <v>237971.2</v>
      </c>
      <c r="T73" s="66">
        <f t="shared" si="18"/>
        <v>237971.2</v>
      </c>
      <c r="U73" s="66">
        <f t="shared" si="18"/>
        <v>0</v>
      </c>
      <c r="V73" s="66">
        <f t="shared" si="18"/>
        <v>0</v>
      </c>
      <c r="W73" s="64">
        <f t="shared" si="14"/>
        <v>796593.8</v>
      </c>
      <c r="X73" s="28">
        <v>2023</v>
      </c>
      <c r="Y73" s="140">
        <f t="shared" si="8"/>
        <v>0</v>
      </c>
      <c r="Z73" s="141">
        <f t="shared" si="9"/>
        <v>0</v>
      </c>
      <c r="AA73" s="140">
        <f t="shared" si="10"/>
        <v>0</v>
      </c>
      <c r="AB73" s="140">
        <f t="shared" si="11"/>
        <v>0</v>
      </c>
    </row>
    <row r="74" spans="1:28" ht="89.25">
      <c r="A74" s="21" t="s">
        <v>19</v>
      </c>
      <c r="B74" s="22">
        <v>1</v>
      </c>
      <c r="C74" s="22">
        <v>1</v>
      </c>
      <c r="D74" s="22">
        <v>2</v>
      </c>
      <c r="E74" s="22">
        <v>0</v>
      </c>
      <c r="F74" s="22">
        <v>0</v>
      </c>
      <c r="G74" s="43"/>
      <c r="H74" s="44" t="s">
        <v>76</v>
      </c>
      <c r="I74" s="43" t="s">
        <v>28</v>
      </c>
      <c r="J74" s="70">
        <v>98.6</v>
      </c>
      <c r="K74" s="70">
        <v>99.6</v>
      </c>
      <c r="L74" s="70">
        <v>100</v>
      </c>
      <c r="M74" s="72">
        <v>100</v>
      </c>
      <c r="N74" s="72">
        <v>99.6</v>
      </c>
      <c r="O74" s="72">
        <v>99.8</v>
      </c>
      <c r="P74" s="73">
        <v>99.8</v>
      </c>
      <c r="Q74" s="73">
        <v>99.8</v>
      </c>
      <c r="R74" s="73">
        <v>99.8</v>
      </c>
      <c r="S74" s="73">
        <v>99.9</v>
      </c>
      <c r="T74" s="73">
        <v>99.9</v>
      </c>
      <c r="U74" s="73">
        <v>100</v>
      </c>
      <c r="V74" s="73">
        <v>100</v>
      </c>
      <c r="W74" s="120">
        <v>100</v>
      </c>
      <c r="X74" s="30">
        <v>2024</v>
      </c>
      <c r="Y74" s="140">
        <f t="shared" si="8"/>
        <v>0</v>
      </c>
      <c r="Z74" s="141">
        <f t="shared" si="9"/>
        <v>0</v>
      </c>
      <c r="AA74" s="140">
        <f t="shared" si="10"/>
        <v>0</v>
      </c>
      <c r="AB74" s="140">
        <f t="shared" si="11"/>
        <v>0</v>
      </c>
    </row>
    <row r="75" spans="1:28" ht="107.25" customHeight="1">
      <c r="A75" s="21" t="s">
        <v>19</v>
      </c>
      <c r="B75" s="22">
        <v>1</v>
      </c>
      <c r="C75" s="22">
        <v>1</v>
      </c>
      <c r="D75" s="22">
        <v>2</v>
      </c>
      <c r="E75" s="22">
        <v>0</v>
      </c>
      <c r="F75" s="22">
        <v>0</v>
      </c>
      <c r="G75" s="43"/>
      <c r="H75" s="44" t="s">
        <v>77</v>
      </c>
      <c r="I75" s="43" t="s">
        <v>28</v>
      </c>
      <c r="J75" s="70">
        <v>93.6</v>
      </c>
      <c r="K75" s="70">
        <v>95.2</v>
      </c>
      <c r="L75" s="70">
        <v>99.1</v>
      </c>
      <c r="M75" s="71">
        <v>99.9</v>
      </c>
      <c r="N75" s="72">
        <v>92.4</v>
      </c>
      <c r="O75" s="72">
        <v>99.6</v>
      </c>
      <c r="P75" s="73">
        <v>99.6</v>
      </c>
      <c r="Q75" s="119">
        <v>99.6</v>
      </c>
      <c r="R75" s="119">
        <v>99.6</v>
      </c>
      <c r="S75" s="119">
        <v>99.6</v>
      </c>
      <c r="T75" s="119">
        <v>99.6</v>
      </c>
      <c r="U75" s="119">
        <v>99.7</v>
      </c>
      <c r="V75" s="119">
        <v>99.7</v>
      </c>
      <c r="W75" s="70">
        <v>99.7</v>
      </c>
      <c r="X75" s="30">
        <v>2024</v>
      </c>
      <c r="Y75" s="140">
        <f t="shared" si="8"/>
        <v>0</v>
      </c>
      <c r="Z75" s="141">
        <f t="shared" si="9"/>
        <v>0</v>
      </c>
      <c r="AA75" s="140">
        <f t="shared" si="10"/>
        <v>0</v>
      </c>
      <c r="AB75" s="140">
        <f t="shared" si="11"/>
        <v>0</v>
      </c>
    </row>
    <row r="76" spans="1:28" ht="63.75">
      <c r="A76" s="21" t="s">
        <v>19</v>
      </c>
      <c r="B76" s="22">
        <v>1</v>
      </c>
      <c r="C76" s="22">
        <v>1</v>
      </c>
      <c r="D76" s="22">
        <v>2</v>
      </c>
      <c r="E76" s="22">
        <v>0</v>
      </c>
      <c r="F76" s="22">
        <v>0</v>
      </c>
      <c r="G76" s="43"/>
      <c r="H76" s="44" t="s">
        <v>78</v>
      </c>
      <c r="I76" s="43" t="s">
        <v>28</v>
      </c>
      <c r="J76" s="70">
        <v>100</v>
      </c>
      <c r="K76" s="70">
        <v>100</v>
      </c>
      <c r="L76" s="70">
        <v>100</v>
      </c>
      <c r="M76" s="71">
        <v>100</v>
      </c>
      <c r="N76" s="72">
        <v>100</v>
      </c>
      <c r="O76" s="72">
        <v>100</v>
      </c>
      <c r="P76" s="86">
        <v>100</v>
      </c>
      <c r="Q76" s="80">
        <v>100</v>
      </c>
      <c r="R76" s="80">
        <v>100</v>
      </c>
      <c r="S76" s="80">
        <v>100</v>
      </c>
      <c r="T76" s="80">
        <v>100</v>
      </c>
      <c r="U76" s="80">
        <v>100</v>
      </c>
      <c r="V76" s="80">
        <v>100</v>
      </c>
      <c r="W76" s="70">
        <v>100</v>
      </c>
      <c r="X76" s="30">
        <v>2024</v>
      </c>
      <c r="Y76" s="140">
        <f t="shared" si="8"/>
        <v>0</v>
      </c>
      <c r="Z76" s="141">
        <f t="shared" si="9"/>
        <v>0</v>
      </c>
      <c r="AA76" s="140">
        <f t="shared" si="10"/>
        <v>0</v>
      </c>
      <c r="AB76" s="140">
        <f t="shared" si="11"/>
        <v>0</v>
      </c>
    </row>
    <row r="77" spans="1:28" ht="51">
      <c r="A77" s="36" t="s">
        <v>19</v>
      </c>
      <c r="B77" s="37">
        <v>1</v>
      </c>
      <c r="C77" s="37">
        <v>1</v>
      </c>
      <c r="D77" s="37">
        <v>2</v>
      </c>
      <c r="E77" s="37">
        <v>0</v>
      </c>
      <c r="F77" s="37">
        <v>1</v>
      </c>
      <c r="G77" s="38"/>
      <c r="H77" s="39" t="s">
        <v>79</v>
      </c>
      <c r="I77" s="38" t="s">
        <v>43</v>
      </c>
      <c r="J77" s="87" t="s">
        <v>44</v>
      </c>
      <c r="K77" s="87" t="s">
        <v>44</v>
      </c>
      <c r="L77" s="87" t="s">
        <v>44</v>
      </c>
      <c r="M77" s="87" t="s">
        <v>44</v>
      </c>
      <c r="N77" s="87" t="s">
        <v>44</v>
      </c>
      <c r="O77" s="87" t="s">
        <v>44</v>
      </c>
      <c r="P77" s="87" t="s">
        <v>44</v>
      </c>
      <c r="Q77" s="87" t="s">
        <v>44</v>
      </c>
      <c r="R77" s="87" t="s">
        <v>44</v>
      </c>
      <c r="S77" s="87" t="s">
        <v>44</v>
      </c>
      <c r="T77" s="87" t="s">
        <v>44</v>
      </c>
      <c r="U77" s="87" t="s">
        <v>44</v>
      </c>
      <c r="V77" s="87" t="s">
        <v>44</v>
      </c>
      <c r="W77" s="87" t="s">
        <v>44</v>
      </c>
      <c r="X77" s="38">
        <v>2024</v>
      </c>
      <c r="Y77" s="140"/>
      <c r="Z77" s="141"/>
      <c r="AA77" s="140"/>
      <c r="AB77" s="140"/>
    </row>
    <row r="78" spans="1:28" ht="51">
      <c r="A78" s="21" t="s">
        <v>19</v>
      </c>
      <c r="B78" s="22">
        <v>1</v>
      </c>
      <c r="C78" s="22">
        <v>1</v>
      </c>
      <c r="D78" s="22">
        <v>2</v>
      </c>
      <c r="E78" s="22">
        <v>0</v>
      </c>
      <c r="F78" s="22">
        <v>1</v>
      </c>
      <c r="G78" s="43"/>
      <c r="H78" s="44" t="s">
        <v>80</v>
      </c>
      <c r="I78" s="30" t="s">
        <v>28</v>
      </c>
      <c r="J78" s="70">
        <v>100</v>
      </c>
      <c r="K78" s="70">
        <v>100</v>
      </c>
      <c r="L78" s="70">
        <v>100</v>
      </c>
      <c r="M78" s="71">
        <v>100</v>
      </c>
      <c r="N78" s="72">
        <v>100</v>
      </c>
      <c r="O78" s="72">
        <v>100</v>
      </c>
      <c r="P78" s="72">
        <v>100</v>
      </c>
      <c r="Q78" s="71">
        <v>100</v>
      </c>
      <c r="R78" s="71">
        <v>100</v>
      </c>
      <c r="S78" s="71">
        <v>100</v>
      </c>
      <c r="T78" s="71">
        <v>100</v>
      </c>
      <c r="U78" s="71">
        <v>100</v>
      </c>
      <c r="V78" s="71">
        <v>100</v>
      </c>
      <c r="W78" s="70">
        <v>100</v>
      </c>
      <c r="X78" s="30">
        <v>2024</v>
      </c>
      <c r="Y78" s="140">
        <f aca="true" t="shared" si="19" ref="Y78:Y117">P78-O78</f>
        <v>0</v>
      </c>
      <c r="Z78" s="141">
        <f>R78-Q78</f>
        <v>0</v>
      </c>
      <c r="AA78" s="140">
        <f>T78-S78</f>
        <v>0</v>
      </c>
      <c r="AB78" s="140">
        <f aca="true" t="shared" si="20" ref="AB78:AB117">V78-U78</f>
        <v>0</v>
      </c>
    </row>
    <row r="79" spans="1:28" s="2" customFormat="1" ht="38.25">
      <c r="A79" s="36" t="s">
        <v>19</v>
      </c>
      <c r="B79" s="37">
        <v>1</v>
      </c>
      <c r="C79" s="37">
        <v>1</v>
      </c>
      <c r="D79" s="37">
        <v>2</v>
      </c>
      <c r="E79" s="37">
        <v>0</v>
      </c>
      <c r="F79" s="37">
        <v>2</v>
      </c>
      <c r="G79" s="37"/>
      <c r="H79" s="40" t="s">
        <v>81</v>
      </c>
      <c r="I79" s="37" t="s">
        <v>21</v>
      </c>
      <c r="J79" s="88">
        <f>J80+J81</f>
        <v>1251949.6</v>
      </c>
      <c r="K79" s="88">
        <f>K80+K81</f>
        <v>1249414</v>
      </c>
      <c r="L79" s="88">
        <f>L80+L81</f>
        <v>1405865.5</v>
      </c>
      <c r="M79" s="89">
        <f>M80+M81</f>
        <v>1546991.8</v>
      </c>
      <c r="N79" s="89">
        <v>1699305</v>
      </c>
      <c r="O79" s="89">
        <v>1871880.8</v>
      </c>
      <c r="P79" s="90">
        <f>P80+P81+P82</f>
        <v>1696492</v>
      </c>
      <c r="Q79" s="89">
        <v>1920592.4</v>
      </c>
      <c r="R79" s="90">
        <f>R80+R81+R82</f>
        <v>1789485.9</v>
      </c>
      <c r="S79" s="89">
        <v>1991046.1</v>
      </c>
      <c r="T79" s="90">
        <f>T80+T81+T82</f>
        <v>1859939.6</v>
      </c>
      <c r="U79" s="89">
        <v>1711415.2</v>
      </c>
      <c r="V79" s="195">
        <f>V80+V81+V82</f>
        <v>1711415.2</v>
      </c>
      <c r="W79" s="109">
        <f>J79+K79+L79+M79+N79+P79+R79+T79+V79</f>
        <v>14210858.6</v>
      </c>
      <c r="X79" s="37">
        <v>2024</v>
      </c>
      <c r="Y79" s="140">
        <f t="shared" si="19"/>
        <v>-175388.8</v>
      </c>
      <c r="Z79" s="141">
        <f>R79-Q79</f>
        <v>-131106.5</v>
      </c>
      <c r="AA79" s="140">
        <f aca="true" t="shared" si="21" ref="AA79:AA110">T79-S79</f>
        <v>-131106.5</v>
      </c>
      <c r="AB79" s="140">
        <f t="shared" si="20"/>
        <v>0</v>
      </c>
    </row>
    <row r="80" spans="1:28" s="2" customFormat="1" ht="12.75">
      <c r="A80" s="21" t="s">
        <v>19</v>
      </c>
      <c r="B80" s="22">
        <v>1</v>
      </c>
      <c r="C80" s="22">
        <v>1</v>
      </c>
      <c r="D80" s="22">
        <v>2</v>
      </c>
      <c r="E80" s="22">
        <v>0</v>
      </c>
      <c r="F80" s="22">
        <v>2</v>
      </c>
      <c r="G80" s="22">
        <v>3</v>
      </c>
      <c r="H80" s="26" t="s">
        <v>22</v>
      </c>
      <c r="I80" s="28" t="s">
        <v>21</v>
      </c>
      <c r="J80" s="64">
        <f>288484.2-5223.9</f>
        <v>283260.3</v>
      </c>
      <c r="K80" s="64">
        <f>271560.6-0.06</f>
        <v>271560.5</v>
      </c>
      <c r="L80" s="64">
        <v>300108.5</v>
      </c>
      <c r="M80" s="65">
        <v>365667.1</v>
      </c>
      <c r="N80" s="91">
        <v>337523.9</v>
      </c>
      <c r="O80" s="91">
        <v>328309.4</v>
      </c>
      <c r="P80" s="92">
        <v>329443.1</v>
      </c>
      <c r="Q80" s="196">
        <v>331478.4</v>
      </c>
      <c r="R80" s="196">
        <v>331478.4</v>
      </c>
      <c r="S80" s="65">
        <v>331478.5</v>
      </c>
      <c r="T80" s="65">
        <v>331478.5</v>
      </c>
      <c r="U80" s="65">
        <v>367905.4</v>
      </c>
      <c r="V80" s="66">
        <v>367905.4</v>
      </c>
      <c r="W80" s="126">
        <f>J80+K80+L80+M80+N80+P80+R80+T80+V80</f>
        <v>2918425.7</v>
      </c>
      <c r="X80" s="28">
        <v>2024</v>
      </c>
      <c r="Y80" s="140">
        <f t="shared" si="19"/>
        <v>1133.7</v>
      </c>
      <c r="Z80" s="141">
        <f aca="true" t="shared" si="22" ref="Z80:Z117">R80-Q80</f>
        <v>0</v>
      </c>
      <c r="AA80" s="140">
        <f t="shared" si="21"/>
        <v>0</v>
      </c>
      <c r="AB80" s="140">
        <f t="shared" si="20"/>
        <v>0</v>
      </c>
    </row>
    <row r="81" spans="1:28" s="2" customFormat="1" ht="12.75">
      <c r="A81" s="21" t="s">
        <v>19</v>
      </c>
      <c r="B81" s="22">
        <v>1</v>
      </c>
      <c r="C81" s="22">
        <v>1</v>
      </c>
      <c r="D81" s="22">
        <v>2</v>
      </c>
      <c r="E81" s="22">
        <v>0</v>
      </c>
      <c r="F81" s="22">
        <v>2</v>
      </c>
      <c r="G81" s="22">
        <v>2</v>
      </c>
      <c r="H81" s="26" t="s">
        <v>23</v>
      </c>
      <c r="I81" s="28" t="s">
        <v>21</v>
      </c>
      <c r="J81" s="64">
        <v>968689.3</v>
      </c>
      <c r="K81" s="64">
        <v>977853.5</v>
      </c>
      <c r="L81" s="64">
        <v>1105757</v>
      </c>
      <c r="M81" s="65">
        <v>1181324.7</v>
      </c>
      <c r="N81" s="91">
        <v>1315778.8</v>
      </c>
      <c r="O81" s="91">
        <v>1412464.9</v>
      </c>
      <c r="P81" s="92">
        <v>1367048.9</v>
      </c>
      <c r="Q81" s="65">
        <v>1458007.5</v>
      </c>
      <c r="R81" s="65">
        <v>1458007.5</v>
      </c>
      <c r="S81" s="65">
        <v>1528461.1</v>
      </c>
      <c r="T81" s="65">
        <v>1528461.1</v>
      </c>
      <c r="U81" s="65">
        <v>1343509.8</v>
      </c>
      <c r="V81" s="66">
        <v>1343509.8</v>
      </c>
      <c r="W81" s="126">
        <f>J81+K81+L81+M81+N81+P81+R81+T81+V81</f>
        <v>11246430.6</v>
      </c>
      <c r="X81" s="28">
        <v>2024</v>
      </c>
      <c r="Y81" s="140">
        <f t="shared" si="19"/>
        <v>-45416</v>
      </c>
      <c r="Z81" s="141">
        <f t="shared" si="22"/>
        <v>0</v>
      </c>
      <c r="AA81" s="140">
        <f t="shared" si="21"/>
        <v>0</v>
      </c>
      <c r="AB81" s="140">
        <f t="shared" si="20"/>
        <v>0</v>
      </c>
    </row>
    <row r="82" spans="1:28" s="2" customFormat="1" ht="12.75">
      <c r="A82" s="21"/>
      <c r="B82" s="22"/>
      <c r="C82" s="22"/>
      <c r="D82" s="22"/>
      <c r="E82" s="22"/>
      <c r="F82" s="22"/>
      <c r="G82" s="22"/>
      <c r="H82" s="26" t="s">
        <v>24</v>
      </c>
      <c r="I82" s="28"/>
      <c r="J82" s="64"/>
      <c r="K82" s="64"/>
      <c r="L82" s="64"/>
      <c r="M82" s="65"/>
      <c r="N82" s="91">
        <v>46002.3</v>
      </c>
      <c r="O82" s="91">
        <v>131106.5</v>
      </c>
      <c r="P82" s="92">
        <v>0</v>
      </c>
      <c r="Q82" s="65">
        <v>131106.5</v>
      </c>
      <c r="R82" s="197">
        <v>0</v>
      </c>
      <c r="S82" s="65">
        <v>131106.5</v>
      </c>
      <c r="T82" s="197">
        <v>0</v>
      </c>
      <c r="U82" s="65">
        <v>0</v>
      </c>
      <c r="V82" s="66">
        <v>0</v>
      </c>
      <c r="W82" s="126">
        <f>J82+K82+L82+M82+N82+P82+R82+T82+V82</f>
        <v>46002.3</v>
      </c>
      <c r="X82" s="28">
        <v>2023</v>
      </c>
      <c r="Y82" s="140">
        <f t="shared" si="19"/>
        <v>-131106.5</v>
      </c>
      <c r="Z82" s="141">
        <f t="shared" si="22"/>
        <v>-131106.5</v>
      </c>
      <c r="AA82" s="140">
        <f t="shared" si="21"/>
        <v>-131106.5</v>
      </c>
      <c r="AB82" s="140">
        <f t="shared" si="20"/>
        <v>0</v>
      </c>
    </row>
    <row r="83" spans="1:28" ht="38.25">
      <c r="A83" s="21" t="s">
        <v>19</v>
      </c>
      <c r="B83" s="22">
        <v>1</v>
      </c>
      <c r="C83" s="22">
        <v>1</v>
      </c>
      <c r="D83" s="22">
        <v>2</v>
      </c>
      <c r="E83" s="22">
        <v>0</v>
      </c>
      <c r="F83" s="22">
        <v>2</v>
      </c>
      <c r="G83" s="43"/>
      <c r="H83" s="46" t="s">
        <v>82</v>
      </c>
      <c r="I83" s="30" t="s">
        <v>48</v>
      </c>
      <c r="J83" s="93">
        <v>18792</v>
      </c>
      <c r="K83" s="93">
        <v>19077</v>
      </c>
      <c r="L83" s="93">
        <v>19805</v>
      </c>
      <c r="M83" s="94">
        <v>20363</v>
      </c>
      <c r="N83" s="95">
        <v>20951</v>
      </c>
      <c r="O83" s="95">
        <v>21463</v>
      </c>
      <c r="P83" s="96">
        <v>21463</v>
      </c>
      <c r="Q83" s="127">
        <v>21923</v>
      </c>
      <c r="R83" s="127">
        <v>21923</v>
      </c>
      <c r="S83" s="127">
        <v>22139</v>
      </c>
      <c r="T83" s="127">
        <v>22139</v>
      </c>
      <c r="U83" s="127">
        <v>21940</v>
      </c>
      <c r="V83" s="127">
        <v>21940</v>
      </c>
      <c r="W83" s="93">
        <f>(J83+K83+L83+M83+N83+P83+R83+T83+V83)/9</f>
        <v>20717</v>
      </c>
      <c r="X83" s="30">
        <v>2024</v>
      </c>
      <c r="Y83" s="140">
        <f t="shared" si="19"/>
        <v>0</v>
      </c>
      <c r="Z83" s="141">
        <f t="shared" si="22"/>
        <v>0</v>
      </c>
      <c r="AA83" s="140">
        <f t="shared" si="21"/>
        <v>0</v>
      </c>
      <c r="AB83" s="140">
        <f t="shared" si="20"/>
        <v>0</v>
      </c>
    </row>
    <row r="84" spans="1:28" ht="38.25">
      <c r="A84" s="21" t="s">
        <v>19</v>
      </c>
      <c r="B84" s="22">
        <v>1</v>
      </c>
      <c r="C84" s="22">
        <v>1</v>
      </c>
      <c r="D84" s="22">
        <v>2</v>
      </c>
      <c r="E84" s="22">
        <v>0</v>
      </c>
      <c r="F84" s="22">
        <v>2</v>
      </c>
      <c r="G84" s="43"/>
      <c r="H84" s="46" t="s">
        <v>83</v>
      </c>
      <c r="I84" s="30" t="s">
        <v>48</v>
      </c>
      <c r="J84" s="99">
        <v>25</v>
      </c>
      <c r="K84" s="99">
        <v>25</v>
      </c>
      <c r="L84" s="99">
        <v>25</v>
      </c>
      <c r="M84" s="163">
        <v>25</v>
      </c>
      <c r="N84" s="100">
        <v>25</v>
      </c>
      <c r="O84" s="100">
        <v>25</v>
      </c>
      <c r="P84" s="164">
        <v>25</v>
      </c>
      <c r="Q84" s="164">
        <v>25</v>
      </c>
      <c r="R84" s="164">
        <v>25</v>
      </c>
      <c r="S84" s="164">
        <v>25</v>
      </c>
      <c r="T84" s="164">
        <v>25</v>
      </c>
      <c r="U84" s="164">
        <v>25</v>
      </c>
      <c r="V84" s="164">
        <v>25</v>
      </c>
      <c r="W84" s="93">
        <v>25</v>
      </c>
      <c r="X84" s="30">
        <v>2024</v>
      </c>
      <c r="Y84" s="140">
        <f t="shared" si="19"/>
        <v>0</v>
      </c>
      <c r="Z84" s="141">
        <f t="shared" si="22"/>
        <v>0</v>
      </c>
      <c r="AA84" s="140">
        <f t="shared" si="21"/>
        <v>0</v>
      </c>
      <c r="AB84" s="140">
        <f t="shared" si="20"/>
        <v>0</v>
      </c>
    </row>
    <row r="85" spans="1:28" ht="76.5">
      <c r="A85" s="21" t="s">
        <v>19</v>
      </c>
      <c r="B85" s="22">
        <v>1</v>
      </c>
      <c r="C85" s="22">
        <v>1</v>
      </c>
      <c r="D85" s="22">
        <v>2</v>
      </c>
      <c r="E85" s="22">
        <v>0</v>
      </c>
      <c r="F85" s="22">
        <v>2</v>
      </c>
      <c r="G85" s="43"/>
      <c r="H85" s="46" t="s">
        <v>84</v>
      </c>
      <c r="I85" s="30" t="s">
        <v>28</v>
      </c>
      <c r="J85" s="76">
        <f>J80/J9*100</f>
        <v>25.6</v>
      </c>
      <c r="K85" s="76">
        <f>K80/K10*100</f>
        <v>12.9</v>
      </c>
      <c r="L85" s="76">
        <f>L80/L9*100</f>
        <v>21.6</v>
      </c>
      <c r="M85" s="76">
        <f>M80/M9*100</f>
        <v>21</v>
      </c>
      <c r="N85" s="76">
        <v>20.8</v>
      </c>
      <c r="O85" s="76">
        <v>20.8</v>
      </c>
      <c r="P85" s="171">
        <f>P80/P9*100</f>
        <v>20</v>
      </c>
      <c r="Q85" s="76">
        <v>21.1</v>
      </c>
      <c r="R85" s="171">
        <f>R80/R9*100</f>
        <v>21</v>
      </c>
      <c r="S85" s="76">
        <v>20.9</v>
      </c>
      <c r="T85" s="171">
        <f>T80/T9*100</f>
        <v>20.9</v>
      </c>
      <c r="U85" s="76">
        <v>22.6</v>
      </c>
      <c r="V85" s="171">
        <f>V80/V9*100</f>
        <v>22.6</v>
      </c>
      <c r="W85" s="76">
        <f>W80/W9*100</f>
        <v>21.6</v>
      </c>
      <c r="X85" s="30">
        <v>2024</v>
      </c>
      <c r="Y85" s="140">
        <f t="shared" si="19"/>
        <v>-0.8</v>
      </c>
      <c r="Z85" s="141">
        <f t="shared" si="22"/>
        <v>-0.1</v>
      </c>
      <c r="AA85" s="140">
        <f t="shared" si="21"/>
        <v>0</v>
      </c>
      <c r="AB85" s="140">
        <f t="shared" si="20"/>
        <v>0</v>
      </c>
    </row>
    <row r="86" spans="1:28" ht="63.75">
      <c r="A86" s="21" t="s">
        <v>19</v>
      </c>
      <c r="B86" s="22">
        <v>1</v>
      </c>
      <c r="C86" s="22">
        <v>1</v>
      </c>
      <c r="D86" s="22">
        <v>2</v>
      </c>
      <c r="E86" s="22">
        <v>0</v>
      </c>
      <c r="F86" s="22">
        <v>2</v>
      </c>
      <c r="G86" s="43"/>
      <c r="H86" s="46" t="s">
        <v>85</v>
      </c>
      <c r="I86" s="30" t="s">
        <v>21</v>
      </c>
      <c r="J86" s="76">
        <f aca="true" t="shared" si="23" ref="J86:V86">J81/J83</f>
        <v>51.5</v>
      </c>
      <c r="K86" s="76">
        <f t="shared" si="23"/>
        <v>51.3</v>
      </c>
      <c r="L86" s="76">
        <f t="shared" si="23"/>
        <v>55.8</v>
      </c>
      <c r="M86" s="76">
        <f t="shared" si="23"/>
        <v>58</v>
      </c>
      <c r="N86" s="76">
        <v>62.8</v>
      </c>
      <c r="O86" s="76">
        <v>65.8</v>
      </c>
      <c r="P86" s="171">
        <f>P81/P83</f>
        <v>63.7</v>
      </c>
      <c r="Q86" s="76">
        <v>69.9</v>
      </c>
      <c r="R86" s="171">
        <v>69.9</v>
      </c>
      <c r="S86" s="76">
        <v>69</v>
      </c>
      <c r="T86" s="171">
        <f t="shared" si="23"/>
        <v>69</v>
      </c>
      <c r="U86" s="76">
        <v>61.2</v>
      </c>
      <c r="V86" s="171">
        <f t="shared" si="23"/>
        <v>61.2</v>
      </c>
      <c r="W86" s="70">
        <f>J86+K86+L86+M86+N86+P86+R86+T86+V86</f>
        <v>543.2</v>
      </c>
      <c r="X86" s="30">
        <v>2024</v>
      </c>
      <c r="Y86" s="140">
        <f t="shared" si="19"/>
        <v>-2.1</v>
      </c>
      <c r="Z86" s="141">
        <f t="shared" si="22"/>
        <v>0</v>
      </c>
      <c r="AA86" s="140">
        <f t="shared" si="21"/>
        <v>0</v>
      </c>
      <c r="AB86" s="140">
        <f t="shared" si="20"/>
        <v>0</v>
      </c>
    </row>
    <row r="87" spans="1:28" ht="51">
      <c r="A87" s="21" t="s">
        <v>19</v>
      </c>
      <c r="B87" s="22">
        <v>1</v>
      </c>
      <c r="C87" s="22">
        <v>1</v>
      </c>
      <c r="D87" s="22">
        <v>2</v>
      </c>
      <c r="E87" s="22">
        <v>0</v>
      </c>
      <c r="F87" s="22">
        <v>2</v>
      </c>
      <c r="G87" s="43"/>
      <c r="H87" s="46" t="s">
        <v>86</v>
      </c>
      <c r="I87" s="30" t="s">
        <v>87</v>
      </c>
      <c r="J87" s="70">
        <v>0</v>
      </c>
      <c r="K87" s="70">
        <f>34903+535.3</f>
        <v>35438.3</v>
      </c>
      <c r="L87" s="70">
        <v>39464.4</v>
      </c>
      <c r="M87" s="71">
        <v>43421.1</v>
      </c>
      <c r="N87" s="72">
        <v>47181.4</v>
      </c>
      <c r="O87" s="72">
        <v>47205</v>
      </c>
      <c r="P87" s="79">
        <v>47205</v>
      </c>
      <c r="Q87" s="72">
        <v>47205</v>
      </c>
      <c r="R87" s="79">
        <v>47205</v>
      </c>
      <c r="S87" s="72">
        <v>47205</v>
      </c>
      <c r="T87" s="79">
        <v>47205</v>
      </c>
      <c r="U87" s="72">
        <v>47205</v>
      </c>
      <c r="V87" s="79">
        <v>47205</v>
      </c>
      <c r="W87" s="70">
        <v>47181.4</v>
      </c>
      <c r="X87" s="30">
        <v>2024</v>
      </c>
      <c r="Y87" s="140">
        <f t="shared" si="19"/>
        <v>0</v>
      </c>
      <c r="Z87" s="141">
        <f t="shared" si="22"/>
        <v>0</v>
      </c>
      <c r="AA87" s="140">
        <f t="shared" si="21"/>
        <v>0</v>
      </c>
      <c r="AB87" s="140">
        <f t="shared" si="20"/>
        <v>0</v>
      </c>
    </row>
    <row r="88" spans="1:28" ht="51">
      <c r="A88" s="21" t="s">
        <v>19</v>
      </c>
      <c r="B88" s="22">
        <v>1</v>
      </c>
      <c r="C88" s="22">
        <v>1</v>
      </c>
      <c r="D88" s="22">
        <v>2</v>
      </c>
      <c r="E88" s="22">
        <v>0</v>
      </c>
      <c r="F88" s="22">
        <v>2</v>
      </c>
      <c r="G88" s="43"/>
      <c r="H88" s="44" t="s">
        <v>88</v>
      </c>
      <c r="I88" s="30" t="s">
        <v>48</v>
      </c>
      <c r="J88" s="99">
        <v>0</v>
      </c>
      <c r="K88" s="93">
        <v>0</v>
      </c>
      <c r="L88" s="93">
        <v>420</v>
      </c>
      <c r="M88" s="163">
        <v>404</v>
      </c>
      <c r="N88" s="100">
        <v>494</v>
      </c>
      <c r="O88" s="100">
        <v>404</v>
      </c>
      <c r="P88" s="172">
        <v>404</v>
      </c>
      <c r="Q88" s="100">
        <v>404</v>
      </c>
      <c r="R88" s="172">
        <v>404</v>
      </c>
      <c r="S88" s="100">
        <v>404</v>
      </c>
      <c r="T88" s="172">
        <v>404</v>
      </c>
      <c r="U88" s="100">
        <v>404</v>
      </c>
      <c r="V88" s="172">
        <v>404</v>
      </c>
      <c r="W88" s="93">
        <f>J88+K88+L88+M88+N88+P88+R88+T88+V88</f>
        <v>2934</v>
      </c>
      <c r="X88" s="30">
        <v>2024</v>
      </c>
      <c r="Y88" s="140">
        <f t="shared" si="19"/>
        <v>0</v>
      </c>
      <c r="Z88" s="141">
        <f t="shared" si="22"/>
        <v>0</v>
      </c>
      <c r="AA88" s="140">
        <f t="shared" si="21"/>
        <v>0</v>
      </c>
      <c r="AB88" s="140">
        <f t="shared" si="20"/>
        <v>0</v>
      </c>
    </row>
    <row r="89" spans="1:28" ht="51.75" customHeight="1">
      <c r="A89" s="21" t="s">
        <v>19</v>
      </c>
      <c r="B89" s="22">
        <v>1</v>
      </c>
      <c r="C89" s="22">
        <v>1</v>
      </c>
      <c r="D89" s="22">
        <v>2</v>
      </c>
      <c r="E89" s="22">
        <v>0</v>
      </c>
      <c r="F89" s="22">
        <v>2</v>
      </c>
      <c r="G89" s="43"/>
      <c r="H89" s="46" t="s">
        <v>89</v>
      </c>
      <c r="I89" s="43" t="s">
        <v>57</v>
      </c>
      <c r="J89" s="173">
        <v>0</v>
      </c>
      <c r="K89" s="173">
        <v>0</v>
      </c>
      <c r="L89" s="173">
        <v>0</v>
      </c>
      <c r="M89" s="107">
        <v>0</v>
      </c>
      <c r="N89" s="107">
        <v>0</v>
      </c>
      <c r="O89" s="107">
        <v>249</v>
      </c>
      <c r="P89" s="108">
        <v>249</v>
      </c>
      <c r="Q89" s="107">
        <v>251</v>
      </c>
      <c r="R89" s="108">
        <v>251</v>
      </c>
      <c r="S89" s="107">
        <v>253</v>
      </c>
      <c r="T89" s="108">
        <v>253</v>
      </c>
      <c r="U89" s="107">
        <v>255</v>
      </c>
      <c r="V89" s="108">
        <v>255</v>
      </c>
      <c r="W89" s="173">
        <v>255</v>
      </c>
      <c r="X89" s="173">
        <v>2024</v>
      </c>
      <c r="Y89" s="140">
        <f t="shared" si="19"/>
        <v>0</v>
      </c>
      <c r="Z89" s="141">
        <f t="shared" si="22"/>
        <v>0</v>
      </c>
      <c r="AA89" s="140">
        <f t="shared" si="21"/>
        <v>0</v>
      </c>
      <c r="AB89" s="140">
        <f t="shared" si="20"/>
        <v>0</v>
      </c>
    </row>
    <row r="90" spans="1:28" s="2" customFormat="1" ht="38.25">
      <c r="A90" s="36" t="s">
        <v>19</v>
      </c>
      <c r="B90" s="37">
        <v>1</v>
      </c>
      <c r="C90" s="37">
        <v>1</v>
      </c>
      <c r="D90" s="37">
        <v>2</v>
      </c>
      <c r="E90" s="37">
        <v>0</v>
      </c>
      <c r="F90" s="37">
        <v>3</v>
      </c>
      <c r="G90" s="37">
        <v>3</v>
      </c>
      <c r="H90" s="40" t="s">
        <v>90</v>
      </c>
      <c r="I90" s="37" t="s">
        <v>21</v>
      </c>
      <c r="J90" s="88">
        <f>J91</f>
        <v>5283.5</v>
      </c>
      <c r="K90" s="88">
        <f>K91</f>
        <v>20006.3</v>
      </c>
      <c r="L90" s="88">
        <f>L91</f>
        <v>18784.7</v>
      </c>
      <c r="M90" s="89">
        <f>M91</f>
        <v>26841.4</v>
      </c>
      <c r="N90" s="89">
        <v>94008.9</v>
      </c>
      <c r="O90" s="89">
        <v>148597.4</v>
      </c>
      <c r="P90" s="174">
        <f>P91+P92+P93</f>
        <v>153621.8</v>
      </c>
      <c r="Q90" s="89">
        <v>149667.6</v>
      </c>
      <c r="R90" s="89">
        <f>R91+R92+R93</f>
        <v>149667.6</v>
      </c>
      <c r="S90" s="89">
        <v>150154.5</v>
      </c>
      <c r="T90" s="89">
        <f>T91+T92+T93</f>
        <v>150154.5</v>
      </c>
      <c r="U90" s="89">
        <v>31415.9</v>
      </c>
      <c r="V90" s="89">
        <f>V91+V92+V93</f>
        <v>31415.9</v>
      </c>
      <c r="W90" s="109">
        <f>J90+K90+L90+M90+N90+P90+R90+T90+V90</f>
        <v>649784.6</v>
      </c>
      <c r="X90" s="37">
        <v>2024</v>
      </c>
      <c r="Y90" s="140">
        <f t="shared" si="19"/>
        <v>5024.4</v>
      </c>
      <c r="Z90" s="141">
        <f t="shared" si="22"/>
        <v>0</v>
      </c>
      <c r="AA90" s="140">
        <f t="shared" si="21"/>
        <v>0</v>
      </c>
      <c r="AB90" s="140">
        <f t="shared" si="20"/>
        <v>0</v>
      </c>
    </row>
    <row r="91" spans="1:28" s="2" customFormat="1" ht="12.75">
      <c r="A91" s="21" t="s">
        <v>19</v>
      </c>
      <c r="B91" s="22">
        <v>1</v>
      </c>
      <c r="C91" s="22">
        <v>1</v>
      </c>
      <c r="D91" s="22">
        <v>2</v>
      </c>
      <c r="E91" s="22">
        <v>0</v>
      </c>
      <c r="F91" s="22">
        <v>3</v>
      </c>
      <c r="G91" s="22">
        <v>3</v>
      </c>
      <c r="H91" s="26" t="s">
        <v>22</v>
      </c>
      <c r="I91" s="22" t="s">
        <v>21</v>
      </c>
      <c r="J91" s="64">
        <v>5283.5</v>
      </c>
      <c r="K91" s="64">
        <f>21017.5-1011.2</f>
        <v>20006.3</v>
      </c>
      <c r="L91" s="64">
        <f>23622.4-4839.4+1.7</f>
        <v>18784.7</v>
      </c>
      <c r="M91" s="65">
        <v>26841.4</v>
      </c>
      <c r="N91" s="91">
        <v>40068.5</v>
      </c>
      <c r="O91" s="91">
        <v>34916</v>
      </c>
      <c r="P91" s="175">
        <v>39940.4</v>
      </c>
      <c r="Q91" s="91">
        <v>31416</v>
      </c>
      <c r="R91" s="91">
        <v>31416</v>
      </c>
      <c r="S91" s="91">
        <v>31415.9</v>
      </c>
      <c r="T91" s="91">
        <v>31415.9</v>
      </c>
      <c r="U91" s="91">
        <v>31415.9</v>
      </c>
      <c r="V91" s="91">
        <v>31415.9</v>
      </c>
      <c r="W91" s="126">
        <f>J91+K91+L91+M91+N91+P91+R91+T91+V91</f>
        <v>245172.6</v>
      </c>
      <c r="X91" s="28">
        <v>2024</v>
      </c>
      <c r="Y91" s="140">
        <f t="shared" si="19"/>
        <v>5024.4</v>
      </c>
      <c r="Z91" s="141">
        <f t="shared" si="22"/>
        <v>0</v>
      </c>
      <c r="AA91" s="140">
        <f t="shared" si="21"/>
        <v>0</v>
      </c>
      <c r="AB91" s="140">
        <f t="shared" si="20"/>
        <v>0</v>
      </c>
    </row>
    <row r="92" spans="1:28" s="2" customFormat="1" ht="12.75">
      <c r="A92" s="21"/>
      <c r="B92" s="22"/>
      <c r="C92" s="22"/>
      <c r="D92" s="22"/>
      <c r="E92" s="22"/>
      <c r="F92" s="22">
        <v>2</v>
      </c>
      <c r="G92" s="22">
        <v>2</v>
      </c>
      <c r="H92" s="26" t="s">
        <v>23</v>
      </c>
      <c r="I92" s="22" t="s">
        <v>21</v>
      </c>
      <c r="J92" s="64">
        <v>0</v>
      </c>
      <c r="K92" s="64">
        <v>0</v>
      </c>
      <c r="L92" s="64">
        <v>0</v>
      </c>
      <c r="M92" s="65">
        <v>0</v>
      </c>
      <c r="N92" s="91">
        <v>12242.1</v>
      </c>
      <c r="O92" s="91">
        <v>11398.8</v>
      </c>
      <c r="P92" s="175">
        <v>11398.8</v>
      </c>
      <c r="Q92" s="65">
        <v>11825.2</v>
      </c>
      <c r="R92" s="65">
        <v>11825.2</v>
      </c>
      <c r="S92" s="65">
        <v>11873.9</v>
      </c>
      <c r="T92" s="65">
        <v>11873.9</v>
      </c>
      <c r="U92" s="65">
        <v>0</v>
      </c>
      <c r="V92" s="65">
        <v>0</v>
      </c>
      <c r="W92" s="64">
        <f>J92+K92+L92+M92+N92+P92+R92+T92+V92</f>
        <v>47340</v>
      </c>
      <c r="X92" s="28">
        <v>2023</v>
      </c>
      <c r="Y92" s="140">
        <f t="shared" si="19"/>
        <v>0</v>
      </c>
      <c r="Z92" s="141">
        <f t="shared" si="22"/>
        <v>0</v>
      </c>
      <c r="AA92" s="140">
        <f t="shared" si="21"/>
        <v>0</v>
      </c>
      <c r="AB92" s="140">
        <f t="shared" si="20"/>
        <v>0</v>
      </c>
    </row>
    <row r="93" spans="1:28" s="2" customFormat="1" ht="12.75">
      <c r="A93" s="21"/>
      <c r="B93" s="22"/>
      <c r="C93" s="22"/>
      <c r="D93" s="22"/>
      <c r="E93" s="22"/>
      <c r="F93" s="22"/>
      <c r="G93" s="22">
        <v>1</v>
      </c>
      <c r="H93" s="26" t="s">
        <v>24</v>
      </c>
      <c r="I93" s="22" t="s">
        <v>21</v>
      </c>
      <c r="J93" s="64">
        <v>0</v>
      </c>
      <c r="K93" s="64">
        <v>0</v>
      </c>
      <c r="L93" s="64">
        <v>0</v>
      </c>
      <c r="M93" s="65">
        <v>0</v>
      </c>
      <c r="N93" s="91">
        <v>41698.3</v>
      </c>
      <c r="O93" s="91">
        <v>102282.6</v>
      </c>
      <c r="P93" s="175">
        <v>102282.6</v>
      </c>
      <c r="Q93" s="65">
        <v>106426.4</v>
      </c>
      <c r="R93" s="65">
        <v>106426.4</v>
      </c>
      <c r="S93" s="65">
        <v>106864.7</v>
      </c>
      <c r="T93" s="65">
        <v>106864.7</v>
      </c>
      <c r="U93" s="65">
        <v>0</v>
      </c>
      <c r="V93" s="65">
        <v>0</v>
      </c>
      <c r="W93" s="64">
        <f>J93+K93+L93+M93+N93+P93+R93+T93+V93</f>
        <v>357272</v>
      </c>
      <c r="X93" s="28">
        <v>2023</v>
      </c>
      <c r="Y93" s="140">
        <f t="shared" si="19"/>
        <v>0</v>
      </c>
      <c r="Z93" s="141">
        <f t="shared" si="22"/>
        <v>0</v>
      </c>
      <c r="AA93" s="140">
        <f t="shared" si="21"/>
        <v>0</v>
      </c>
      <c r="AB93" s="140">
        <f t="shared" si="20"/>
        <v>0</v>
      </c>
    </row>
    <row r="94" spans="1:28" ht="51">
      <c r="A94" s="21" t="s">
        <v>19</v>
      </c>
      <c r="B94" s="22">
        <v>1</v>
      </c>
      <c r="C94" s="22">
        <v>1</v>
      </c>
      <c r="D94" s="22">
        <v>2</v>
      </c>
      <c r="E94" s="22">
        <v>0</v>
      </c>
      <c r="F94" s="22">
        <v>3</v>
      </c>
      <c r="G94" s="43"/>
      <c r="H94" s="44" t="s">
        <v>91</v>
      </c>
      <c r="I94" s="43" t="s">
        <v>57</v>
      </c>
      <c r="J94" s="93">
        <v>29</v>
      </c>
      <c r="K94" s="105">
        <v>28</v>
      </c>
      <c r="L94" s="105">
        <v>28</v>
      </c>
      <c r="M94" s="106">
        <v>28</v>
      </c>
      <c r="N94" s="107">
        <v>28</v>
      </c>
      <c r="O94" s="107">
        <v>28</v>
      </c>
      <c r="P94" s="108">
        <v>28</v>
      </c>
      <c r="Q94" s="107">
        <v>28</v>
      </c>
      <c r="R94" s="108">
        <v>28</v>
      </c>
      <c r="S94" s="107">
        <v>28</v>
      </c>
      <c r="T94" s="108">
        <v>28</v>
      </c>
      <c r="U94" s="107">
        <v>28</v>
      </c>
      <c r="V94" s="108">
        <v>28</v>
      </c>
      <c r="W94" s="93">
        <v>28</v>
      </c>
      <c r="X94" s="30">
        <v>2024</v>
      </c>
      <c r="Y94" s="140">
        <f t="shared" si="19"/>
        <v>0</v>
      </c>
      <c r="Z94" s="141">
        <f t="shared" si="22"/>
        <v>0</v>
      </c>
      <c r="AA94" s="140">
        <f t="shared" si="21"/>
        <v>0</v>
      </c>
      <c r="AB94" s="140">
        <f t="shared" si="20"/>
        <v>0</v>
      </c>
    </row>
    <row r="95" spans="1:28" ht="76.5">
      <c r="A95" s="21" t="s">
        <v>19</v>
      </c>
      <c r="B95" s="22">
        <v>1</v>
      </c>
      <c r="C95" s="22">
        <v>1</v>
      </c>
      <c r="D95" s="22">
        <v>2</v>
      </c>
      <c r="E95" s="22">
        <v>0</v>
      </c>
      <c r="F95" s="22">
        <v>3</v>
      </c>
      <c r="G95" s="43"/>
      <c r="H95" s="44" t="s">
        <v>92</v>
      </c>
      <c r="I95" s="43" t="s">
        <v>57</v>
      </c>
      <c r="J95" s="93">
        <v>0</v>
      </c>
      <c r="K95" s="105">
        <v>7</v>
      </c>
      <c r="L95" s="105">
        <v>7</v>
      </c>
      <c r="M95" s="106">
        <v>19</v>
      </c>
      <c r="N95" s="95">
        <v>23</v>
      </c>
      <c r="O95" s="95">
        <v>18</v>
      </c>
      <c r="P95" s="104">
        <v>18</v>
      </c>
      <c r="Q95" s="95">
        <v>18</v>
      </c>
      <c r="R95" s="104">
        <v>18</v>
      </c>
      <c r="S95" s="95">
        <v>18</v>
      </c>
      <c r="T95" s="104">
        <v>18</v>
      </c>
      <c r="U95" s="95">
        <v>18</v>
      </c>
      <c r="V95" s="104">
        <v>18</v>
      </c>
      <c r="W95" s="93">
        <v>18</v>
      </c>
      <c r="X95" s="30">
        <v>2024</v>
      </c>
      <c r="Y95" s="140">
        <f t="shared" si="19"/>
        <v>0</v>
      </c>
      <c r="Z95" s="141">
        <f t="shared" si="22"/>
        <v>0</v>
      </c>
      <c r="AA95" s="140">
        <f t="shared" si="21"/>
        <v>0</v>
      </c>
      <c r="AB95" s="140">
        <f t="shared" si="20"/>
        <v>0</v>
      </c>
    </row>
    <row r="96" spans="1:28" ht="31.5" customHeight="1">
      <c r="A96" s="21" t="s">
        <v>19</v>
      </c>
      <c r="B96" s="22">
        <v>1</v>
      </c>
      <c r="C96" s="22">
        <v>1</v>
      </c>
      <c r="D96" s="22">
        <v>2</v>
      </c>
      <c r="E96" s="22">
        <v>0</v>
      </c>
      <c r="F96" s="22">
        <v>3</v>
      </c>
      <c r="G96" s="43"/>
      <c r="H96" s="44" t="s">
        <v>93</v>
      </c>
      <c r="I96" s="43" t="s">
        <v>48</v>
      </c>
      <c r="J96" s="93">
        <v>0</v>
      </c>
      <c r="K96" s="93">
        <f>1475-29-224</f>
        <v>1222</v>
      </c>
      <c r="L96" s="93">
        <v>1298</v>
      </c>
      <c r="M96" s="94">
        <v>1361</v>
      </c>
      <c r="N96" s="95">
        <v>10628</v>
      </c>
      <c r="O96" s="95">
        <v>10515</v>
      </c>
      <c r="P96" s="104">
        <v>10515</v>
      </c>
      <c r="Q96" s="95">
        <v>10834</v>
      </c>
      <c r="R96" s="104">
        <v>10834</v>
      </c>
      <c r="S96" s="95">
        <v>10763</v>
      </c>
      <c r="T96" s="104">
        <v>10763</v>
      </c>
      <c r="U96" s="95">
        <v>1272</v>
      </c>
      <c r="V96" s="104">
        <v>1272</v>
      </c>
      <c r="W96" s="93">
        <f>J96+K96+L96+M96+N96+P96+R96+T96+V96</f>
        <v>47893</v>
      </c>
      <c r="X96" s="30">
        <v>2024</v>
      </c>
      <c r="Y96" s="140">
        <f t="shared" si="19"/>
        <v>0</v>
      </c>
      <c r="Z96" s="141">
        <f t="shared" si="22"/>
        <v>0</v>
      </c>
      <c r="AA96" s="140">
        <f t="shared" si="21"/>
        <v>0</v>
      </c>
      <c r="AB96" s="140">
        <f t="shared" si="20"/>
        <v>0</v>
      </c>
    </row>
    <row r="97" spans="1:28" ht="51.75" customHeight="1">
      <c r="A97" s="21" t="s">
        <v>19</v>
      </c>
      <c r="B97" s="22">
        <v>1</v>
      </c>
      <c r="C97" s="22">
        <v>1</v>
      </c>
      <c r="D97" s="22">
        <v>2</v>
      </c>
      <c r="E97" s="22">
        <v>0</v>
      </c>
      <c r="F97" s="22">
        <v>3</v>
      </c>
      <c r="G97" s="43"/>
      <c r="H97" s="153" t="s">
        <v>94</v>
      </c>
      <c r="I97" s="43" t="s">
        <v>95</v>
      </c>
      <c r="J97" s="93">
        <v>0</v>
      </c>
      <c r="K97" s="93">
        <v>0</v>
      </c>
      <c r="L97" s="93">
        <v>0</v>
      </c>
      <c r="M97" s="94">
        <v>0</v>
      </c>
      <c r="N97" s="95">
        <v>733584</v>
      </c>
      <c r="O97" s="95">
        <v>1499549</v>
      </c>
      <c r="P97" s="104">
        <v>1499549</v>
      </c>
      <c r="Q97" s="95">
        <v>1516626</v>
      </c>
      <c r="R97" s="104">
        <v>1516626</v>
      </c>
      <c r="S97" s="95">
        <v>1478307</v>
      </c>
      <c r="T97" s="104">
        <v>1478307</v>
      </c>
      <c r="U97" s="95">
        <v>0</v>
      </c>
      <c r="V97" s="104">
        <v>0</v>
      </c>
      <c r="W97" s="93">
        <f>J97+K97+L97+M97+N97+O97+P97+R97+T97+V97</f>
        <v>6727615</v>
      </c>
      <c r="X97" s="30">
        <v>2023</v>
      </c>
      <c r="Y97" s="140">
        <f t="shared" si="19"/>
        <v>0</v>
      </c>
      <c r="Z97" s="141">
        <f t="shared" si="22"/>
        <v>0</v>
      </c>
      <c r="AA97" s="140">
        <f t="shared" si="21"/>
        <v>0</v>
      </c>
      <c r="AB97" s="140">
        <f t="shared" si="20"/>
        <v>0</v>
      </c>
    </row>
    <row r="98" spans="1:28" s="2" customFormat="1" ht="51">
      <c r="A98" s="36" t="s">
        <v>19</v>
      </c>
      <c r="B98" s="37">
        <v>1</v>
      </c>
      <c r="C98" s="37">
        <v>1</v>
      </c>
      <c r="D98" s="37">
        <v>2</v>
      </c>
      <c r="E98" s="37">
        <v>0</v>
      </c>
      <c r="F98" s="37">
        <v>4</v>
      </c>
      <c r="G98" s="37" t="s">
        <v>96</v>
      </c>
      <c r="H98" s="40" t="s">
        <v>97</v>
      </c>
      <c r="I98" s="37" t="s">
        <v>21</v>
      </c>
      <c r="J98" s="88">
        <f>J99</f>
        <v>9796.1</v>
      </c>
      <c r="K98" s="88">
        <f>K99</f>
        <v>8719.3</v>
      </c>
      <c r="L98" s="88">
        <f>L99+L100</f>
        <v>12072.3</v>
      </c>
      <c r="M98" s="89">
        <f>M99+M100</f>
        <v>11354.4</v>
      </c>
      <c r="N98" s="89">
        <v>7776.8</v>
      </c>
      <c r="O98" s="89">
        <v>12093.3</v>
      </c>
      <c r="P98" s="90">
        <f>P99</f>
        <v>11969.2</v>
      </c>
      <c r="Q98" s="89">
        <v>12155.6</v>
      </c>
      <c r="R98" s="113">
        <f>R99</f>
        <v>12155.6</v>
      </c>
      <c r="S98" s="113">
        <v>12197</v>
      </c>
      <c r="T98" s="113">
        <f>T99</f>
        <v>12197</v>
      </c>
      <c r="U98" s="113">
        <v>5122.1</v>
      </c>
      <c r="V98" s="113">
        <f>V99</f>
        <v>5122.1</v>
      </c>
      <c r="W98" s="88">
        <f>J98+L98+K98+M98+N98+P98+R98+T98+V98</f>
        <v>91162.8</v>
      </c>
      <c r="X98" s="37">
        <v>2024</v>
      </c>
      <c r="Y98" s="140">
        <f t="shared" si="19"/>
        <v>-124.1</v>
      </c>
      <c r="Z98" s="141">
        <f t="shared" si="22"/>
        <v>0</v>
      </c>
      <c r="AA98" s="140">
        <f t="shared" si="21"/>
        <v>0</v>
      </c>
      <c r="AB98" s="140">
        <f t="shared" si="20"/>
        <v>0</v>
      </c>
    </row>
    <row r="99" spans="1:28" s="2" customFormat="1" ht="12.75">
      <c r="A99" s="21" t="s">
        <v>19</v>
      </c>
      <c r="B99" s="22">
        <v>1</v>
      </c>
      <c r="C99" s="22">
        <v>1</v>
      </c>
      <c r="D99" s="22">
        <v>2</v>
      </c>
      <c r="E99" s="22">
        <v>0</v>
      </c>
      <c r="F99" s="22">
        <v>4</v>
      </c>
      <c r="G99" s="22">
        <v>3</v>
      </c>
      <c r="H99" s="26" t="s">
        <v>22</v>
      </c>
      <c r="I99" s="22" t="s">
        <v>21</v>
      </c>
      <c r="J99" s="64">
        <v>9796.1</v>
      </c>
      <c r="K99" s="64">
        <f>7708.1+1011.2</f>
        <v>8719.3</v>
      </c>
      <c r="L99" s="64">
        <f>6803+4839.4-1.7</f>
        <v>11640.7</v>
      </c>
      <c r="M99" s="65">
        <v>9181.4</v>
      </c>
      <c r="N99" s="91">
        <v>7776.8</v>
      </c>
      <c r="O99" s="91">
        <v>12093.3</v>
      </c>
      <c r="P99" s="92">
        <v>11969.2</v>
      </c>
      <c r="Q99" s="91">
        <v>12155.6</v>
      </c>
      <c r="R99" s="114">
        <v>12155.6</v>
      </c>
      <c r="S99" s="114">
        <v>12197</v>
      </c>
      <c r="T99" s="114">
        <v>12197</v>
      </c>
      <c r="U99" s="132">
        <v>5122.1</v>
      </c>
      <c r="V99" s="132">
        <v>5122.1</v>
      </c>
      <c r="W99" s="138">
        <f>J99+K99+L99+M99+N99+P99+R99+T99+V99</f>
        <v>88558.2</v>
      </c>
      <c r="X99" s="28">
        <v>2024</v>
      </c>
      <c r="Y99" s="140">
        <f t="shared" si="19"/>
        <v>-124.1</v>
      </c>
      <c r="Z99" s="141">
        <f aca="true" t="shared" si="24" ref="Z99:Z110">R99-Q99</f>
        <v>0</v>
      </c>
      <c r="AA99" s="140">
        <f t="shared" si="21"/>
        <v>0</v>
      </c>
      <c r="AB99" s="140">
        <f t="shared" si="20"/>
        <v>0</v>
      </c>
    </row>
    <row r="100" spans="1:28" s="5" customFormat="1" ht="12.75">
      <c r="A100" s="154" t="s">
        <v>19</v>
      </c>
      <c r="B100" s="155">
        <v>1</v>
      </c>
      <c r="C100" s="155">
        <v>1</v>
      </c>
      <c r="D100" s="155">
        <v>2</v>
      </c>
      <c r="E100" s="155">
        <v>0</v>
      </c>
      <c r="F100" s="155">
        <v>4</v>
      </c>
      <c r="G100" s="155">
        <v>2</v>
      </c>
      <c r="H100" s="156" t="s">
        <v>23</v>
      </c>
      <c r="I100" s="155" t="s">
        <v>21</v>
      </c>
      <c r="J100" s="176">
        <v>0</v>
      </c>
      <c r="K100" s="176">
        <v>0</v>
      </c>
      <c r="L100" s="176">
        <v>431.6</v>
      </c>
      <c r="M100" s="132">
        <v>2173</v>
      </c>
      <c r="N100" s="114">
        <v>0</v>
      </c>
      <c r="O100" s="91">
        <v>0</v>
      </c>
      <c r="P100" s="92">
        <v>3500</v>
      </c>
      <c r="Q100" s="65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76">
        <f>J100+K100+L100+M100+N100+P100+R100+T100+V100</f>
        <v>6104.6</v>
      </c>
      <c r="X100" s="133">
        <v>2021</v>
      </c>
      <c r="Y100" s="204">
        <f t="shared" si="19"/>
        <v>3500</v>
      </c>
      <c r="Z100" s="141">
        <f t="shared" si="24"/>
        <v>0</v>
      </c>
      <c r="AA100" s="140">
        <f t="shared" si="21"/>
        <v>0</v>
      </c>
      <c r="AB100" s="204">
        <f t="shared" si="20"/>
        <v>0</v>
      </c>
    </row>
    <row r="101" spans="1:28" ht="51">
      <c r="A101" s="21" t="s">
        <v>19</v>
      </c>
      <c r="B101" s="22">
        <v>1</v>
      </c>
      <c r="C101" s="22">
        <v>1</v>
      </c>
      <c r="D101" s="22">
        <v>2</v>
      </c>
      <c r="E101" s="22">
        <v>0</v>
      </c>
      <c r="F101" s="22">
        <v>4</v>
      </c>
      <c r="G101" s="43"/>
      <c r="H101" s="46" t="s">
        <v>98</v>
      </c>
      <c r="I101" s="43" t="s">
        <v>57</v>
      </c>
      <c r="J101" s="93">
        <v>18</v>
      </c>
      <c r="K101" s="93">
        <v>11</v>
      </c>
      <c r="L101" s="93">
        <v>16</v>
      </c>
      <c r="M101" s="94">
        <v>12</v>
      </c>
      <c r="N101" s="95">
        <v>16</v>
      </c>
      <c r="O101" s="95">
        <v>15</v>
      </c>
      <c r="P101" s="96">
        <v>15</v>
      </c>
      <c r="Q101" s="94">
        <v>8</v>
      </c>
      <c r="R101" s="127">
        <v>8</v>
      </c>
      <c r="S101" s="127">
        <v>10</v>
      </c>
      <c r="T101" s="127">
        <v>10</v>
      </c>
      <c r="U101" s="127">
        <v>12</v>
      </c>
      <c r="V101" s="127">
        <v>12</v>
      </c>
      <c r="W101" s="93">
        <v>18</v>
      </c>
      <c r="X101" s="30">
        <v>2024</v>
      </c>
      <c r="Y101" s="140">
        <f t="shared" si="19"/>
        <v>0</v>
      </c>
      <c r="Z101" s="141">
        <f t="shared" si="24"/>
        <v>0</v>
      </c>
      <c r="AA101" s="140">
        <f t="shared" si="21"/>
        <v>0</v>
      </c>
      <c r="AB101" s="140">
        <f t="shared" si="20"/>
        <v>0</v>
      </c>
    </row>
    <row r="102" spans="1:28" ht="51">
      <c r="A102" s="21" t="s">
        <v>19</v>
      </c>
      <c r="B102" s="22">
        <v>1</v>
      </c>
      <c r="C102" s="22">
        <v>1</v>
      </c>
      <c r="D102" s="22">
        <v>2</v>
      </c>
      <c r="E102" s="22">
        <v>0</v>
      </c>
      <c r="F102" s="22">
        <v>4</v>
      </c>
      <c r="G102" s="43"/>
      <c r="H102" s="46" t="s">
        <v>99</v>
      </c>
      <c r="I102" s="43" t="s">
        <v>57</v>
      </c>
      <c r="J102" s="105">
        <v>29</v>
      </c>
      <c r="K102" s="105">
        <v>28</v>
      </c>
      <c r="L102" s="105">
        <f>6+22</f>
        <v>28</v>
      </c>
      <c r="M102" s="106">
        <v>28</v>
      </c>
      <c r="N102" s="107">
        <v>17</v>
      </c>
      <c r="O102" s="107">
        <v>10</v>
      </c>
      <c r="P102" s="177">
        <v>25</v>
      </c>
      <c r="Q102" s="106">
        <v>5</v>
      </c>
      <c r="R102" s="136">
        <v>5</v>
      </c>
      <c r="S102" s="136">
        <v>5</v>
      </c>
      <c r="T102" s="136">
        <v>5</v>
      </c>
      <c r="U102" s="136">
        <v>28</v>
      </c>
      <c r="V102" s="136">
        <v>28</v>
      </c>
      <c r="W102" s="93">
        <v>28</v>
      </c>
      <c r="X102" s="105">
        <v>2024</v>
      </c>
      <c r="Y102" s="140">
        <f t="shared" si="19"/>
        <v>15</v>
      </c>
      <c r="Z102" s="141">
        <f t="shared" si="24"/>
        <v>0</v>
      </c>
      <c r="AA102" s="140">
        <f t="shared" si="21"/>
        <v>0</v>
      </c>
      <c r="AB102" s="140">
        <f t="shared" si="20"/>
        <v>0</v>
      </c>
    </row>
    <row r="103" spans="1:28" ht="51">
      <c r="A103" s="21" t="s">
        <v>19</v>
      </c>
      <c r="B103" s="22">
        <v>1</v>
      </c>
      <c r="C103" s="22">
        <v>1</v>
      </c>
      <c r="D103" s="22">
        <v>2</v>
      </c>
      <c r="E103" s="22">
        <v>0</v>
      </c>
      <c r="F103" s="22">
        <v>4</v>
      </c>
      <c r="G103" s="43"/>
      <c r="H103" s="46" t="s">
        <v>100</v>
      </c>
      <c r="I103" s="43" t="s">
        <v>57</v>
      </c>
      <c r="J103" s="105">
        <v>0</v>
      </c>
      <c r="K103" s="105">
        <f>1+1+2</f>
        <v>4</v>
      </c>
      <c r="L103" s="105">
        <v>28</v>
      </c>
      <c r="M103" s="106">
        <v>0</v>
      </c>
      <c r="N103" s="107">
        <v>0</v>
      </c>
      <c r="O103" s="107">
        <v>0</v>
      </c>
      <c r="P103" s="112">
        <v>0</v>
      </c>
      <c r="Q103" s="106">
        <v>0</v>
      </c>
      <c r="R103" s="136">
        <v>0</v>
      </c>
      <c r="S103" s="136">
        <v>0</v>
      </c>
      <c r="T103" s="136">
        <v>0</v>
      </c>
      <c r="U103" s="136">
        <v>0</v>
      </c>
      <c r="V103" s="136">
        <v>0</v>
      </c>
      <c r="W103" s="93">
        <v>28</v>
      </c>
      <c r="X103" s="105">
        <v>2018</v>
      </c>
      <c r="Y103" s="140">
        <f t="shared" si="19"/>
        <v>0</v>
      </c>
      <c r="Z103" s="141">
        <f t="shared" si="24"/>
        <v>0</v>
      </c>
      <c r="AA103" s="140">
        <f t="shared" si="21"/>
        <v>0</v>
      </c>
      <c r="AB103" s="140">
        <f t="shared" si="20"/>
        <v>0</v>
      </c>
    </row>
    <row r="104" spans="1:28" ht="38.25">
      <c r="A104" s="21" t="s">
        <v>19</v>
      </c>
      <c r="B104" s="22">
        <v>1</v>
      </c>
      <c r="C104" s="22">
        <v>1</v>
      </c>
      <c r="D104" s="22">
        <v>2</v>
      </c>
      <c r="E104" s="22">
        <v>0</v>
      </c>
      <c r="F104" s="22">
        <v>4</v>
      </c>
      <c r="G104" s="43"/>
      <c r="H104" s="157" t="s">
        <v>101</v>
      </c>
      <c r="I104" s="43" t="s">
        <v>57</v>
      </c>
      <c r="J104" s="105">
        <v>0</v>
      </c>
      <c r="K104" s="105">
        <v>0</v>
      </c>
      <c r="L104" s="105">
        <v>0</v>
      </c>
      <c r="M104" s="106">
        <v>1</v>
      </c>
      <c r="N104" s="107">
        <v>0</v>
      </c>
      <c r="O104" s="107">
        <v>0</v>
      </c>
      <c r="P104" s="112">
        <v>0</v>
      </c>
      <c r="Q104" s="106">
        <v>0</v>
      </c>
      <c r="R104" s="136">
        <v>0</v>
      </c>
      <c r="S104" s="136">
        <v>0</v>
      </c>
      <c r="T104" s="136">
        <v>0</v>
      </c>
      <c r="U104" s="136">
        <v>0</v>
      </c>
      <c r="V104" s="136">
        <v>0</v>
      </c>
      <c r="W104" s="93">
        <f>J104+K104+L104+M104+N104+P104</f>
        <v>1</v>
      </c>
      <c r="X104" s="105">
        <v>2019</v>
      </c>
      <c r="Y104" s="140">
        <f t="shared" si="19"/>
        <v>0</v>
      </c>
      <c r="Z104" s="141">
        <f t="shared" si="24"/>
        <v>0</v>
      </c>
      <c r="AA104" s="140">
        <f t="shared" si="21"/>
        <v>0</v>
      </c>
      <c r="AB104" s="140">
        <f aca="true" t="shared" si="25" ref="AB104:AB110">S104-R104</f>
        <v>0</v>
      </c>
    </row>
    <row r="105" spans="1:28" ht="38.25" customHeight="1">
      <c r="A105" s="144" t="s">
        <v>19</v>
      </c>
      <c r="B105" s="145">
        <v>1</v>
      </c>
      <c r="C105" s="145">
        <v>1</v>
      </c>
      <c r="D105" s="145">
        <v>2</v>
      </c>
      <c r="E105" s="145">
        <v>0</v>
      </c>
      <c r="F105" s="145">
        <v>5</v>
      </c>
      <c r="G105" s="145"/>
      <c r="H105" s="146" t="s">
        <v>102</v>
      </c>
      <c r="I105" s="145" t="s">
        <v>21</v>
      </c>
      <c r="J105" s="109">
        <f>J106</f>
        <v>0</v>
      </c>
      <c r="K105" s="109">
        <f aca="true" t="shared" si="26" ref="K105:V105">K106</f>
        <v>0</v>
      </c>
      <c r="L105" s="109">
        <f t="shared" si="26"/>
        <v>0</v>
      </c>
      <c r="M105" s="109">
        <f t="shared" si="26"/>
        <v>0</v>
      </c>
      <c r="N105" s="109">
        <f t="shared" si="26"/>
        <v>0</v>
      </c>
      <c r="O105" s="88">
        <v>0</v>
      </c>
      <c r="P105" s="109">
        <f t="shared" si="26"/>
        <v>131106.5</v>
      </c>
      <c r="Q105" s="88">
        <v>0</v>
      </c>
      <c r="R105" s="109">
        <f t="shared" si="26"/>
        <v>131106.5</v>
      </c>
      <c r="S105" s="88">
        <v>0</v>
      </c>
      <c r="T105" s="109">
        <f t="shared" si="26"/>
        <v>131106.5</v>
      </c>
      <c r="U105" s="88">
        <v>0</v>
      </c>
      <c r="V105" s="109">
        <f t="shared" si="26"/>
        <v>0</v>
      </c>
      <c r="W105" s="109">
        <f aca="true" t="shared" si="27" ref="W105:W113">J105+K105+L105+M105+N105+P105+R105+T105+V105</f>
        <v>393319.5</v>
      </c>
      <c r="X105" s="145">
        <v>2023</v>
      </c>
      <c r="Y105" s="140">
        <f t="shared" si="19"/>
        <v>131106.5</v>
      </c>
      <c r="Z105" s="141">
        <f t="shared" si="24"/>
        <v>131106.5</v>
      </c>
      <c r="AA105" s="140">
        <f t="shared" si="21"/>
        <v>131106.5</v>
      </c>
      <c r="AB105" s="140">
        <f t="shared" si="25"/>
        <v>-131106.5</v>
      </c>
    </row>
    <row r="106" spans="1:28" ht="12.75" customHeight="1">
      <c r="A106" s="147" t="s">
        <v>19</v>
      </c>
      <c r="B106" s="148">
        <v>1</v>
      </c>
      <c r="C106" s="148">
        <v>1</v>
      </c>
      <c r="D106" s="148">
        <v>2</v>
      </c>
      <c r="E106" s="148">
        <v>0</v>
      </c>
      <c r="F106" s="148">
        <v>5</v>
      </c>
      <c r="G106" s="150"/>
      <c r="H106" s="158" t="s">
        <v>24</v>
      </c>
      <c r="I106" s="150" t="s">
        <v>21</v>
      </c>
      <c r="J106" s="178">
        <v>0</v>
      </c>
      <c r="K106" s="178">
        <v>0</v>
      </c>
      <c r="L106" s="178">
        <v>0</v>
      </c>
      <c r="M106" s="179">
        <v>0</v>
      </c>
      <c r="N106" s="180">
        <v>0</v>
      </c>
      <c r="O106" s="72">
        <v>0</v>
      </c>
      <c r="P106" s="180">
        <v>131106.5</v>
      </c>
      <c r="Q106" s="71">
        <v>0</v>
      </c>
      <c r="R106" s="179">
        <v>131106.5</v>
      </c>
      <c r="S106" s="71">
        <v>0</v>
      </c>
      <c r="T106" s="179">
        <v>131106.5</v>
      </c>
      <c r="U106" s="71">
        <v>0</v>
      </c>
      <c r="V106" s="179">
        <v>0</v>
      </c>
      <c r="W106" s="178">
        <f t="shared" si="27"/>
        <v>393319.5</v>
      </c>
      <c r="X106" s="181">
        <v>2023</v>
      </c>
      <c r="Y106" s="140">
        <f t="shared" si="19"/>
        <v>131106.5</v>
      </c>
      <c r="Z106" s="141">
        <f t="shared" si="24"/>
        <v>131106.5</v>
      </c>
      <c r="AA106" s="140">
        <f t="shared" si="21"/>
        <v>131106.5</v>
      </c>
      <c r="AB106" s="140">
        <f t="shared" si="25"/>
        <v>-131106.5</v>
      </c>
    </row>
    <row r="107" spans="1:28" ht="24.75" customHeight="1">
      <c r="A107" s="147" t="s">
        <v>19</v>
      </c>
      <c r="B107" s="148">
        <v>1</v>
      </c>
      <c r="C107" s="148">
        <v>1</v>
      </c>
      <c r="D107" s="148">
        <v>2</v>
      </c>
      <c r="E107" s="148">
        <v>0</v>
      </c>
      <c r="F107" s="148">
        <v>5</v>
      </c>
      <c r="G107" s="150"/>
      <c r="H107" s="159" t="s">
        <v>103</v>
      </c>
      <c r="I107" s="150" t="s">
        <v>57</v>
      </c>
      <c r="J107" s="181"/>
      <c r="K107" s="181"/>
      <c r="L107" s="181"/>
      <c r="M107" s="182"/>
      <c r="N107" s="177"/>
      <c r="O107" s="177"/>
      <c r="P107" s="183">
        <v>807.31</v>
      </c>
      <c r="Q107" s="182"/>
      <c r="R107" s="183">
        <v>807.31</v>
      </c>
      <c r="S107" s="183">
        <v>807.31</v>
      </c>
      <c r="T107" s="183">
        <v>807.31</v>
      </c>
      <c r="U107" s="182"/>
      <c r="V107" s="182"/>
      <c r="W107" s="198">
        <f t="shared" si="27"/>
        <v>2421.93</v>
      </c>
      <c r="X107" s="181">
        <v>2021</v>
      </c>
      <c r="Y107" s="140">
        <f t="shared" si="19"/>
        <v>807.3</v>
      </c>
      <c r="Z107" s="141">
        <f t="shared" si="24"/>
        <v>807.31</v>
      </c>
      <c r="AA107" s="140">
        <f t="shared" si="21"/>
        <v>0</v>
      </c>
      <c r="AB107" s="140">
        <f t="shared" si="25"/>
        <v>0</v>
      </c>
    </row>
    <row r="108" spans="1:28" ht="63.75">
      <c r="A108" s="144" t="s">
        <v>19</v>
      </c>
      <c r="B108" s="145">
        <v>1</v>
      </c>
      <c r="C108" s="145">
        <v>1</v>
      </c>
      <c r="D108" s="145">
        <v>2</v>
      </c>
      <c r="E108" s="145">
        <v>0</v>
      </c>
      <c r="F108" s="145">
        <v>6</v>
      </c>
      <c r="G108" s="145"/>
      <c r="H108" s="390" t="s">
        <v>461</v>
      </c>
      <c r="I108" s="145" t="s">
        <v>21</v>
      </c>
      <c r="J108" s="109">
        <f>J109</f>
        <v>0</v>
      </c>
      <c r="K108" s="109">
        <f aca="true" t="shared" si="28" ref="K108:V108">K109</f>
        <v>0</v>
      </c>
      <c r="L108" s="109">
        <f t="shared" si="28"/>
        <v>0</v>
      </c>
      <c r="M108" s="109">
        <f t="shared" si="28"/>
        <v>0</v>
      </c>
      <c r="N108" s="109">
        <f t="shared" si="28"/>
        <v>0</v>
      </c>
      <c r="O108" s="109">
        <f t="shared" si="28"/>
        <v>0</v>
      </c>
      <c r="P108" s="109">
        <f t="shared" si="28"/>
        <v>600</v>
      </c>
      <c r="Q108" s="109">
        <f t="shared" si="28"/>
        <v>0</v>
      </c>
      <c r="R108" s="109">
        <f t="shared" si="28"/>
        <v>0</v>
      </c>
      <c r="S108" s="109">
        <f t="shared" si="28"/>
        <v>0</v>
      </c>
      <c r="T108" s="109">
        <f t="shared" si="28"/>
        <v>0</v>
      </c>
      <c r="U108" s="109">
        <f t="shared" si="28"/>
        <v>0</v>
      </c>
      <c r="V108" s="109">
        <f t="shared" si="28"/>
        <v>0</v>
      </c>
      <c r="W108" s="109">
        <f t="shared" si="27"/>
        <v>600</v>
      </c>
      <c r="X108" s="145">
        <v>2021</v>
      </c>
      <c r="Y108" s="140">
        <f t="shared" si="19"/>
        <v>600</v>
      </c>
      <c r="Z108" s="141">
        <f t="shared" si="24"/>
        <v>0</v>
      </c>
      <c r="AA108" s="140">
        <f t="shared" si="21"/>
        <v>0</v>
      </c>
      <c r="AB108" s="140">
        <f t="shared" si="25"/>
        <v>0</v>
      </c>
    </row>
    <row r="109" spans="1:28" ht="12.75" customHeight="1">
      <c r="A109" s="147" t="s">
        <v>19</v>
      </c>
      <c r="B109" s="148">
        <v>1</v>
      </c>
      <c r="C109" s="148">
        <v>1</v>
      </c>
      <c r="D109" s="148">
        <v>2</v>
      </c>
      <c r="E109" s="148">
        <v>0</v>
      </c>
      <c r="F109" s="148">
        <v>6</v>
      </c>
      <c r="G109" s="150"/>
      <c r="H109" s="158" t="s">
        <v>22</v>
      </c>
      <c r="I109" s="184" t="s">
        <v>21</v>
      </c>
      <c r="J109" s="178"/>
      <c r="K109" s="178"/>
      <c r="L109" s="178"/>
      <c r="M109" s="179"/>
      <c r="N109" s="180"/>
      <c r="O109" s="180"/>
      <c r="P109" s="180">
        <v>600</v>
      </c>
      <c r="Q109" s="179"/>
      <c r="R109" s="179"/>
      <c r="S109" s="179"/>
      <c r="T109" s="179"/>
      <c r="U109" s="179"/>
      <c r="V109" s="179"/>
      <c r="W109" s="178">
        <f t="shared" si="27"/>
        <v>600</v>
      </c>
      <c r="X109" s="181">
        <v>2021</v>
      </c>
      <c r="Y109" s="140">
        <f t="shared" si="19"/>
        <v>600</v>
      </c>
      <c r="Z109" s="141">
        <f t="shared" si="24"/>
        <v>0</v>
      </c>
      <c r="AA109" s="140">
        <f t="shared" si="21"/>
        <v>0</v>
      </c>
      <c r="AB109" s="140">
        <f t="shared" si="25"/>
        <v>0</v>
      </c>
    </row>
    <row r="110" spans="1:28" ht="12.75" customHeight="1">
      <c r="A110" s="147" t="s">
        <v>19</v>
      </c>
      <c r="B110" s="148">
        <v>1</v>
      </c>
      <c r="C110" s="148">
        <v>1</v>
      </c>
      <c r="D110" s="148">
        <v>2</v>
      </c>
      <c r="E110" s="148">
        <v>0</v>
      </c>
      <c r="F110" s="148">
        <v>6</v>
      </c>
      <c r="G110" s="150"/>
      <c r="H110" s="151" t="s">
        <v>74</v>
      </c>
      <c r="I110" s="150" t="s">
        <v>57</v>
      </c>
      <c r="J110" s="181"/>
      <c r="K110" s="181"/>
      <c r="L110" s="181"/>
      <c r="M110" s="182"/>
      <c r="N110" s="177"/>
      <c r="O110" s="177"/>
      <c r="P110" s="177">
        <v>1</v>
      </c>
      <c r="Q110" s="182"/>
      <c r="R110" s="182"/>
      <c r="S110" s="182"/>
      <c r="T110" s="182"/>
      <c r="U110" s="182"/>
      <c r="V110" s="182"/>
      <c r="W110" s="199">
        <f t="shared" si="27"/>
        <v>1</v>
      </c>
      <c r="X110" s="181">
        <v>2021</v>
      </c>
      <c r="Y110" s="140">
        <f t="shared" si="19"/>
        <v>1</v>
      </c>
      <c r="Z110" s="141">
        <f t="shared" si="24"/>
        <v>0</v>
      </c>
      <c r="AA110" s="140">
        <f t="shared" si="21"/>
        <v>0</v>
      </c>
      <c r="AB110" s="140">
        <f t="shared" si="25"/>
        <v>0</v>
      </c>
    </row>
    <row r="111" spans="1:28" ht="25.5">
      <c r="A111" s="160" t="s">
        <v>19</v>
      </c>
      <c r="B111" s="34">
        <v>1</v>
      </c>
      <c r="C111" s="34">
        <v>1</v>
      </c>
      <c r="D111" s="34">
        <v>3</v>
      </c>
      <c r="E111" s="34">
        <v>0</v>
      </c>
      <c r="F111" s="34">
        <v>0</v>
      </c>
      <c r="G111" s="34" t="s">
        <v>96</v>
      </c>
      <c r="H111" s="35" t="s">
        <v>104</v>
      </c>
      <c r="I111" s="34" t="s">
        <v>21</v>
      </c>
      <c r="J111" s="81">
        <f aca="true" t="shared" si="29" ref="J111:V111">J112+J113</f>
        <v>178005.5</v>
      </c>
      <c r="K111" s="81">
        <f t="shared" si="29"/>
        <v>195943.3</v>
      </c>
      <c r="L111" s="81">
        <f t="shared" si="29"/>
        <v>238456.7</v>
      </c>
      <c r="M111" s="82">
        <f t="shared" si="29"/>
        <v>340559.8</v>
      </c>
      <c r="N111" s="82">
        <v>293133.7</v>
      </c>
      <c r="O111" s="82">
        <v>283991.6</v>
      </c>
      <c r="P111" s="185">
        <f t="shared" si="29"/>
        <v>300479.3</v>
      </c>
      <c r="Q111" s="82">
        <v>290943.1</v>
      </c>
      <c r="R111" s="185">
        <f t="shared" si="29"/>
        <v>290943.1</v>
      </c>
      <c r="S111" s="82">
        <v>290943.1</v>
      </c>
      <c r="T111" s="185">
        <f t="shared" si="29"/>
        <v>290943.1</v>
      </c>
      <c r="U111" s="82">
        <v>309873.7</v>
      </c>
      <c r="V111" s="185">
        <f t="shared" si="29"/>
        <v>309873.7</v>
      </c>
      <c r="W111" s="81">
        <f t="shared" si="27"/>
        <v>2438338.2</v>
      </c>
      <c r="X111" s="34">
        <v>2024</v>
      </c>
      <c r="Y111" s="140">
        <f t="shared" si="19"/>
        <v>16487.7</v>
      </c>
      <c r="Z111" s="141">
        <f t="shared" si="22"/>
        <v>0</v>
      </c>
      <c r="AA111" s="140">
        <f aca="true" t="shared" si="30" ref="AA111:AA117">T111-S111</f>
        <v>0</v>
      </c>
      <c r="AB111" s="140">
        <f t="shared" si="20"/>
        <v>0</v>
      </c>
    </row>
    <row r="112" spans="1:28" s="2" customFormat="1" ht="12.75">
      <c r="A112" s="21" t="s">
        <v>19</v>
      </c>
      <c r="B112" s="22">
        <v>1</v>
      </c>
      <c r="C112" s="22">
        <v>1</v>
      </c>
      <c r="D112" s="22">
        <v>3</v>
      </c>
      <c r="E112" s="22">
        <v>0</v>
      </c>
      <c r="F112" s="22">
        <v>0</v>
      </c>
      <c r="G112" s="22">
        <v>3</v>
      </c>
      <c r="H112" s="26" t="s">
        <v>22</v>
      </c>
      <c r="I112" s="22" t="s">
        <v>21</v>
      </c>
      <c r="J112" s="64">
        <f>J123+J131</f>
        <v>178005.5</v>
      </c>
      <c r="K112" s="64">
        <f>K123+K131</f>
        <v>189194</v>
      </c>
      <c r="L112" s="64">
        <f>L123+L131+L135</f>
        <v>209181.3</v>
      </c>
      <c r="M112" s="65">
        <f>M123+M131+M135</f>
        <v>264348.2</v>
      </c>
      <c r="N112" s="65">
        <v>280585.6</v>
      </c>
      <c r="O112" s="65">
        <v>283991.6</v>
      </c>
      <c r="P112" s="186">
        <f>P123+P131+P135+P142</f>
        <v>292242</v>
      </c>
      <c r="Q112" s="65">
        <v>290943.1</v>
      </c>
      <c r="R112" s="186">
        <f>R123+R131+R135+R142</f>
        <v>290943.1</v>
      </c>
      <c r="S112" s="65">
        <v>290943.1</v>
      </c>
      <c r="T112" s="186">
        <f>T123+T131+T135+T142</f>
        <v>290943.1</v>
      </c>
      <c r="U112" s="65">
        <v>309873.7</v>
      </c>
      <c r="V112" s="186">
        <f>V123+V131+V135+V142</f>
        <v>309873.7</v>
      </c>
      <c r="W112" s="64">
        <f t="shared" si="27"/>
        <v>2305316.5</v>
      </c>
      <c r="X112" s="28">
        <v>2024</v>
      </c>
      <c r="Y112" s="140">
        <f t="shared" si="19"/>
        <v>8250.4</v>
      </c>
      <c r="Z112" s="141">
        <f t="shared" si="22"/>
        <v>0</v>
      </c>
      <c r="AA112" s="140">
        <f t="shared" si="30"/>
        <v>0</v>
      </c>
      <c r="AB112" s="140">
        <f t="shared" si="20"/>
        <v>0</v>
      </c>
    </row>
    <row r="113" spans="1:28" s="2" customFormat="1" ht="12.75">
      <c r="A113" s="21" t="s">
        <v>19</v>
      </c>
      <c r="B113" s="22">
        <v>1</v>
      </c>
      <c r="C113" s="22">
        <v>1</v>
      </c>
      <c r="D113" s="22">
        <v>3</v>
      </c>
      <c r="E113" s="22">
        <v>0</v>
      </c>
      <c r="F113" s="22">
        <v>0</v>
      </c>
      <c r="G113" s="22">
        <v>2</v>
      </c>
      <c r="H113" s="26" t="s">
        <v>23</v>
      </c>
      <c r="I113" s="22" t="s">
        <v>21</v>
      </c>
      <c r="J113" s="64">
        <v>0</v>
      </c>
      <c r="K113" s="64">
        <f>K124</f>
        <v>6749.3</v>
      </c>
      <c r="L113" s="64">
        <f>L124+L132</f>
        <v>29275.4</v>
      </c>
      <c r="M113" s="65">
        <f>M136</f>
        <v>76211.6</v>
      </c>
      <c r="N113" s="65">
        <v>12548.1</v>
      </c>
      <c r="O113" s="65">
        <v>0</v>
      </c>
      <c r="P113" s="186">
        <f>P136+P143+P132+P124</f>
        <v>8237.3</v>
      </c>
      <c r="Q113" s="65">
        <v>0</v>
      </c>
      <c r="R113" s="186">
        <f>R136+R143+R132+R124</f>
        <v>0</v>
      </c>
      <c r="S113" s="65">
        <v>0</v>
      </c>
      <c r="T113" s="186">
        <f>T136+T143+T132+T124</f>
        <v>0</v>
      </c>
      <c r="U113" s="65">
        <v>0</v>
      </c>
      <c r="V113" s="186">
        <f>V136+V143+V132+V124</f>
        <v>0</v>
      </c>
      <c r="W113" s="64">
        <f t="shared" si="27"/>
        <v>133021.7</v>
      </c>
      <c r="X113" s="200">
        <v>2021</v>
      </c>
      <c r="Y113" s="140">
        <f t="shared" si="19"/>
        <v>8237.3</v>
      </c>
      <c r="Z113" s="141">
        <f t="shared" si="22"/>
        <v>0</v>
      </c>
      <c r="AA113" s="140">
        <f t="shared" si="30"/>
        <v>0</v>
      </c>
      <c r="AB113" s="140">
        <f t="shared" si="20"/>
        <v>0</v>
      </c>
    </row>
    <row r="114" spans="1:28" ht="70.5" customHeight="1">
      <c r="A114" s="21" t="s">
        <v>19</v>
      </c>
      <c r="B114" s="22">
        <v>1</v>
      </c>
      <c r="C114" s="22">
        <v>1</v>
      </c>
      <c r="D114" s="22">
        <v>3</v>
      </c>
      <c r="E114" s="22">
        <v>0</v>
      </c>
      <c r="F114" s="22">
        <v>0</v>
      </c>
      <c r="G114" s="43"/>
      <c r="H114" s="44" t="s">
        <v>105</v>
      </c>
      <c r="I114" s="43" t="s">
        <v>28</v>
      </c>
      <c r="J114" s="70">
        <v>88</v>
      </c>
      <c r="K114" s="70">
        <v>88.7</v>
      </c>
      <c r="L114" s="70">
        <v>88.7</v>
      </c>
      <c r="M114" s="71">
        <v>88.7</v>
      </c>
      <c r="N114" s="72">
        <v>88.8</v>
      </c>
      <c r="O114" s="72">
        <v>88.9</v>
      </c>
      <c r="P114" s="79">
        <v>88.9</v>
      </c>
      <c r="Q114" s="72">
        <v>88.9</v>
      </c>
      <c r="R114" s="79">
        <v>88.9</v>
      </c>
      <c r="S114" s="72">
        <v>89</v>
      </c>
      <c r="T114" s="79">
        <v>89</v>
      </c>
      <c r="U114" s="72">
        <v>89</v>
      </c>
      <c r="V114" s="79">
        <v>89</v>
      </c>
      <c r="W114" s="70">
        <v>89</v>
      </c>
      <c r="X114" s="30">
        <v>2024</v>
      </c>
      <c r="Y114" s="140">
        <f t="shared" si="19"/>
        <v>0</v>
      </c>
      <c r="Z114" s="141">
        <f t="shared" si="22"/>
        <v>0</v>
      </c>
      <c r="AA114" s="140">
        <f t="shared" si="30"/>
        <v>0</v>
      </c>
      <c r="AB114" s="140">
        <f t="shared" si="20"/>
        <v>0</v>
      </c>
    </row>
    <row r="115" spans="1:28" ht="62.25" customHeight="1">
      <c r="A115" s="21" t="s">
        <v>19</v>
      </c>
      <c r="B115" s="22">
        <v>1</v>
      </c>
      <c r="C115" s="22">
        <v>1</v>
      </c>
      <c r="D115" s="22">
        <v>3</v>
      </c>
      <c r="E115" s="22">
        <v>0</v>
      </c>
      <c r="F115" s="22">
        <v>0</v>
      </c>
      <c r="G115" s="43"/>
      <c r="H115" s="44" t="s">
        <v>106</v>
      </c>
      <c r="I115" s="43" t="s">
        <v>48</v>
      </c>
      <c r="J115" s="105">
        <v>82</v>
      </c>
      <c r="K115" s="105">
        <v>117</v>
      </c>
      <c r="L115" s="105">
        <v>126</v>
      </c>
      <c r="M115" s="106">
        <v>133</v>
      </c>
      <c r="N115" s="173">
        <v>132</v>
      </c>
      <c r="O115" s="187">
        <v>127</v>
      </c>
      <c r="P115" s="188">
        <v>127</v>
      </c>
      <c r="Q115" s="201">
        <v>131</v>
      </c>
      <c r="R115" s="201">
        <v>131</v>
      </c>
      <c r="S115" s="201">
        <v>131</v>
      </c>
      <c r="T115" s="201">
        <v>131</v>
      </c>
      <c r="U115" s="201">
        <v>131</v>
      </c>
      <c r="V115" s="201">
        <v>131</v>
      </c>
      <c r="W115" s="131">
        <v>131</v>
      </c>
      <c r="X115" s="30">
        <v>2024</v>
      </c>
      <c r="Y115" s="140">
        <f t="shared" si="19"/>
        <v>0</v>
      </c>
      <c r="Z115" s="141">
        <f t="shared" si="22"/>
        <v>0</v>
      </c>
      <c r="AA115" s="140">
        <f t="shared" si="30"/>
        <v>0</v>
      </c>
      <c r="AB115" s="140">
        <f t="shared" si="20"/>
        <v>0</v>
      </c>
    </row>
    <row r="116" spans="1:28" ht="80.25" customHeight="1">
      <c r="A116" s="21" t="s">
        <v>19</v>
      </c>
      <c r="B116" s="22">
        <v>1</v>
      </c>
      <c r="C116" s="22">
        <v>1</v>
      </c>
      <c r="D116" s="22">
        <v>3</v>
      </c>
      <c r="E116" s="22">
        <v>0</v>
      </c>
      <c r="F116" s="22">
        <v>0</v>
      </c>
      <c r="G116" s="43"/>
      <c r="H116" s="44" t="s">
        <v>107</v>
      </c>
      <c r="I116" s="43" t="s">
        <v>28</v>
      </c>
      <c r="J116" s="76">
        <v>90</v>
      </c>
      <c r="K116" s="76">
        <v>100</v>
      </c>
      <c r="L116" s="76">
        <v>100</v>
      </c>
      <c r="M116" s="98">
        <v>100</v>
      </c>
      <c r="N116" s="77">
        <v>100</v>
      </c>
      <c r="O116" s="77">
        <v>100</v>
      </c>
      <c r="P116" s="189">
        <v>100</v>
      </c>
      <c r="Q116" s="77">
        <v>100</v>
      </c>
      <c r="R116" s="189">
        <v>100</v>
      </c>
      <c r="S116" s="77">
        <v>100</v>
      </c>
      <c r="T116" s="189">
        <v>100</v>
      </c>
      <c r="U116" s="77">
        <v>100</v>
      </c>
      <c r="V116" s="189">
        <v>100</v>
      </c>
      <c r="W116" s="76">
        <v>100</v>
      </c>
      <c r="X116" s="30">
        <v>2024</v>
      </c>
      <c r="Y116" s="140">
        <f t="shared" si="19"/>
        <v>0</v>
      </c>
      <c r="Z116" s="141">
        <f t="shared" si="22"/>
        <v>0</v>
      </c>
      <c r="AA116" s="140">
        <f t="shared" si="30"/>
        <v>0</v>
      </c>
      <c r="AB116" s="140">
        <f t="shared" si="20"/>
        <v>0</v>
      </c>
    </row>
    <row r="117" spans="1:28" ht="70.5" customHeight="1">
      <c r="A117" s="21" t="s">
        <v>19</v>
      </c>
      <c r="B117" s="22">
        <v>1</v>
      </c>
      <c r="C117" s="22">
        <v>1</v>
      </c>
      <c r="D117" s="22">
        <v>3</v>
      </c>
      <c r="E117" s="22">
        <v>0</v>
      </c>
      <c r="F117" s="22">
        <v>0</v>
      </c>
      <c r="G117" s="43"/>
      <c r="H117" s="44" t="s">
        <v>108</v>
      </c>
      <c r="I117" s="43" t="s">
        <v>28</v>
      </c>
      <c r="J117" s="129">
        <v>0</v>
      </c>
      <c r="K117" s="129">
        <v>0</v>
      </c>
      <c r="L117" s="129">
        <v>0</v>
      </c>
      <c r="M117" s="77">
        <v>0</v>
      </c>
      <c r="N117" s="77">
        <v>27.6</v>
      </c>
      <c r="O117" s="77">
        <v>25</v>
      </c>
      <c r="P117" s="97">
        <v>24</v>
      </c>
      <c r="Q117" s="77">
        <v>25</v>
      </c>
      <c r="R117" s="128">
        <v>25</v>
      </c>
      <c r="S117" s="128">
        <v>25</v>
      </c>
      <c r="T117" s="128">
        <v>25</v>
      </c>
      <c r="U117" s="128">
        <v>25</v>
      </c>
      <c r="V117" s="128">
        <v>25</v>
      </c>
      <c r="W117" s="76">
        <v>25</v>
      </c>
      <c r="X117" s="30">
        <v>2024</v>
      </c>
      <c r="Y117" s="140">
        <f t="shared" si="19"/>
        <v>-1</v>
      </c>
      <c r="Z117" s="141">
        <f t="shared" si="22"/>
        <v>0</v>
      </c>
      <c r="AA117" s="140">
        <f t="shared" si="30"/>
        <v>0</v>
      </c>
      <c r="AB117" s="140">
        <f t="shared" si="20"/>
        <v>0</v>
      </c>
    </row>
    <row r="118" spans="1:28" ht="51">
      <c r="A118" s="36" t="s">
        <v>19</v>
      </c>
      <c r="B118" s="37">
        <v>1</v>
      </c>
      <c r="C118" s="37">
        <v>1</v>
      </c>
      <c r="D118" s="37">
        <v>3</v>
      </c>
      <c r="E118" s="37">
        <v>0</v>
      </c>
      <c r="F118" s="37">
        <v>1</v>
      </c>
      <c r="G118" s="38"/>
      <c r="H118" s="39" t="s">
        <v>109</v>
      </c>
      <c r="I118" s="38" t="s">
        <v>43</v>
      </c>
      <c r="J118" s="87" t="s">
        <v>44</v>
      </c>
      <c r="K118" s="87" t="s">
        <v>44</v>
      </c>
      <c r="L118" s="87" t="s">
        <v>44</v>
      </c>
      <c r="M118" s="125" t="s">
        <v>44</v>
      </c>
      <c r="N118" s="125" t="s">
        <v>44</v>
      </c>
      <c r="O118" s="125" t="s">
        <v>44</v>
      </c>
      <c r="P118" s="125" t="s">
        <v>44</v>
      </c>
      <c r="Q118" s="125" t="s">
        <v>44</v>
      </c>
      <c r="R118" s="125" t="s">
        <v>44</v>
      </c>
      <c r="S118" s="125" t="s">
        <v>44</v>
      </c>
      <c r="T118" s="125" t="s">
        <v>44</v>
      </c>
      <c r="U118" s="125" t="s">
        <v>44</v>
      </c>
      <c r="V118" s="125" t="s">
        <v>44</v>
      </c>
      <c r="W118" s="125" t="s">
        <v>44</v>
      </c>
      <c r="X118" s="38">
        <v>2024</v>
      </c>
      <c r="Y118" s="140"/>
      <c r="Z118" s="141"/>
      <c r="AA118" s="140"/>
      <c r="AB118" s="140"/>
    </row>
    <row r="119" spans="1:28" ht="51">
      <c r="A119" s="21" t="s">
        <v>19</v>
      </c>
      <c r="B119" s="22">
        <v>1</v>
      </c>
      <c r="C119" s="22">
        <v>1</v>
      </c>
      <c r="D119" s="22">
        <v>3</v>
      </c>
      <c r="E119" s="22">
        <v>0</v>
      </c>
      <c r="F119" s="22">
        <v>1</v>
      </c>
      <c r="G119" s="43"/>
      <c r="H119" s="44" t="s">
        <v>110</v>
      </c>
      <c r="I119" s="43" t="s">
        <v>28</v>
      </c>
      <c r="J119" s="70">
        <v>100</v>
      </c>
      <c r="K119" s="70">
        <v>100</v>
      </c>
      <c r="L119" s="70">
        <v>100</v>
      </c>
      <c r="M119" s="71">
        <v>100</v>
      </c>
      <c r="N119" s="72">
        <v>100</v>
      </c>
      <c r="O119" s="72">
        <v>100</v>
      </c>
      <c r="P119" s="72">
        <v>100</v>
      </c>
      <c r="Q119" s="72">
        <v>100</v>
      </c>
      <c r="R119" s="72">
        <v>100</v>
      </c>
      <c r="S119" s="72">
        <v>100</v>
      </c>
      <c r="T119" s="72">
        <v>100</v>
      </c>
      <c r="U119" s="72">
        <v>100</v>
      </c>
      <c r="V119" s="72">
        <v>100</v>
      </c>
      <c r="W119" s="70">
        <v>100</v>
      </c>
      <c r="X119" s="30">
        <v>2024</v>
      </c>
      <c r="Y119" s="140">
        <f>P119-O119</f>
        <v>0</v>
      </c>
      <c r="Z119" s="141">
        <f>R119-Q119</f>
        <v>0</v>
      </c>
      <c r="AA119" s="140">
        <f>T119-S119</f>
        <v>0</v>
      </c>
      <c r="AB119" s="140">
        <f>V119-U119</f>
        <v>0</v>
      </c>
    </row>
    <row r="120" spans="1:28" s="4" customFormat="1" ht="66" customHeight="1">
      <c r="A120" s="36" t="s">
        <v>19</v>
      </c>
      <c r="B120" s="37">
        <v>1</v>
      </c>
      <c r="C120" s="37">
        <v>1</v>
      </c>
      <c r="D120" s="37">
        <v>3</v>
      </c>
      <c r="E120" s="37">
        <v>0</v>
      </c>
      <c r="F120" s="37">
        <v>2</v>
      </c>
      <c r="G120" s="38"/>
      <c r="H120" s="39" t="s">
        <v>111</v>
      </c>
      <c r="I120" s="38" t="s">
        <v>43</v>
      </c>
      <c r="J120" s="87" t="s">
        <v>112</v>
      </c>
      <c r="K120" s="87" t="s">
        <v>112</v>
      </c>
      <c r="L120" s="87" t="s">
        <v>112</v>
      </c>
      <c r="M120" s="125" t="s">
        <v>112</v>
      </c>
      <c r="N120" s="125" t="s">
        <v>44</v>
      </c>
      <c r="O120" s="125" t="s">
        <v>44</v>
      </c>
      <c r="P120" s="125" t="s">
        <v>44</v>
      </c>
      <c r="Q120" s="125" t="s">
        <v>44</v>
      </c>
      <c r="R120" s="125" t="s">
        <v>44</v>
      </c>
      <c r="S120" s="125" t="s">
        <v>44</v>
      </c>
      <c r="T120" s="125" t="s">
        <v>44</v>
      </c>
      <c r="U120" s="125" t="s">
        <v>44</v>
      </c>
      <c r="V120" s="125" t="s">
        <v>44</v>
      </c>
      <c r="W120" s="125" t="s">
        <v>44</v>
      </c>
      <c r="X120" s="38">
        <v>2024</v>
      </c>
      <c r="Y120" s="140"/>
      <c r="Z120" s="141"/>
      <c r="AA120" s="140"/>
      <c r="AB120" s="140"/>
    </row>
    <row r="121" spans="1:28" s="4" customFormat="1" ht="76.5">
      <c r="A121" s="21" t="s">
        <v>19</v>
      </c>
      <c r="B121" s="22">
        <v>1</v>
      </c>
      <c r="C121" s="22">
        <v>1</v>
      </c>
      <c r="D121" s="22">
        <v>3</v>
      </c>
      <c r="E121" s="22">
        <v>0</v>
      </c>
      <c r="F121" s="22">
        <v>2</v>
      </c>
      <c r="G121" s="43"/>
      <c r="H121" s="44" t="s">
        <v>113</v>
      </c>
      <c r="I121" s="43" t="s">
        <v>28</v>
      </c>
      <c r="J121" s="70">
        <v>0</v>
      </c>
      <c r="K121" s="70">
        <v>0</v>
      </c>
      <c r="L121" s="70">
        <v>0</v>
      </c>
      <c r="M121" s="71">
        <v>0</v>
      </c>
      <c r="N121" s="72">
        <v>100</v>
      </c>
      <c r="O121" s="72">
        <v>100</v>
      </c>
      <c r="P121" s="72">
        <v>100</v>
      </c>
      <c r="Q121" s="72">
        <v>100</v>
      </c>
      <c r="R121" s="72">
        <v>100</v>
      </c>
      <c r="S121" s="72">
        <v>100</v>
      </c>
      <c r="T121" s="72">
        <v>100</v>
      </c>
      <c r="U121" s="72">
        <v>100</v>
      </c>
      <c r="V121" s="72">
        <v>100</v>
      </c>
      <c r="W121" s="70">
        <v>100</v>
      </c>
      <c r="X121" s="30">
        <v>2024</v>
      </c>
      <c r="Y121" s="140">
        <f aca="true" t="shared" si="31" ref="Y121:Y147">P121-O121</f>
        <v>0</v>
      </c>
      <c r="Z121" s="141">
        <f aca="true" t="shared" si="32" ref="Z121:Z147">R121-Q121</f>
        <v>0</v>
      </c>
      <c r="AA121" s="140">
        <f aca="true" t="shared" si="33" ref="AA121:AA147">T121-S121</f>
        <v>0</v>
      </c>
      <c r="AB121" s="140">
        <f aca="true" t="shared" si="34" ref="AB121:AB147">V121-U121</f>
        <v>0</v>
      </c>
    </row>
    <row r="122" spans="1:28" ht="35.25" customHeight="1">
      <c r="A122" s="36" t="s">
        <v>19</v>
      </c>
      <c r="B122" s="37">
        <v>1</v>
      </c>
      <c r="C122" s="37">
        <v>1</v>
      </c>
      <c r="D122" s="37">
        <v>3</v>
      </c>
      <c r="E122" s="37">
        <v>0</v>
      </c>
      <c r="F122" s="37">
        <v>3</v>
      </c>
      <c r="G122" s="37" t="s">
        <v>96</v>
      </c>
      <c r="H122" s="40" t="s">
        <v>114</v>
      </c>
      <c r="I122" s="38" t="s">
        <v>21</v>
      </c>
      <c r="J122" s="88">
        <f aca="true" t="shared" si="35" ref="J122:V122">J123+J124</f>
        <v>175812.2</v>
      </c>
      <c r="K122" s="88">
        <f t="shared" si="35"/>
        <v>192398.1</v>
      </c>
      <c r="L122" s="88">
        <f t="shared" si="35"/>
        <v>229582.1</v>
      </c>
      <c r="M122" s="89">
        <f t="shared" si="35"/>
        <v>255851.4</v>
      </c>
      <c r="N122" s="89">
        <v>252817.7</v>
      </c>
      <c r="O122" s="89">
        <v>200007.4</v>
      </c>
      <c r="P122" s="90">
        <f t="shared" si="35"/>
        <v>216495.2</v>
      </c>
      <c r="Q122" s="89">
        <v>200614.1</v>
      </c>
      <c r="R122" s="89">
        <f t="shared" si="35"/>
        <v>200614.1</v>
      </c>
      <c r="S122" s="89">
        <v>200614.1</v>
      </c>
      <c r="T122" s="89">
        <f t="shared" si="35"/>
        <v>200614.1</v>
      </c>
      <c r="U122" s="89">
        <v>299092.3</v>
      </c>
      <c r="V122" s="89">
        <f t="shared" si="35"/>
        <v>299092.3</v>
      </c>
      <c r="W122" s="109">
        <f>J122+K122+L122+M122+N122+P122+R122+T122+V122</f>
        <v>2023277.2</v>
      </c>
      <c r="X122" s="37">
        <v>2024</v>
      </c>
      <c r="Y122" s="140">
        <f t="shared" si="31"/>
        <v>16487.8</v>
      </c>
      <c r="Z122" s="141">
        <f t="shared" si="32"/>
        <v>0</v>
      </c>
      <c r="AA122" s="140">
        <f t="shared" si="33"/>
        <v>0</v>
      </c>
      <c r="AB122" s="140">
        <f t="shared" si="34"/>
        <v>0</v>
      </c>
    </row>
    <row r="123" spans="1:28" s="2" customFormat="1" ht="12.75">
      <c r="A123" s="21" t="s">
        <v>19</v>
      </c>
      <c r="B123" s="22">
        <v>1</v>
      </c>
      <c r="C123" s="22">
        <v>1</v>
      </c>
      <c r="D123" s="22">
        <v>3</v>
      </c>
      <c r="E123" s="22">
        <v>0</v>
      </c>
      <c r="F123" s="22">
        <v>3</v>
      </c>
      <c r="G123" s="22">
        <v>3</v>
      </c>
      <c r="H123" s="26" t="s">
        <v>22</v>
      </c>
      <c r="I123" s="22" t="s">
        <v>21</v>
      </c>
      <c r="J123" s="64">
        <f>189072.3-11566.7+176.3-1869.7</f>
        <v>175812.2</v>
      </c>
      <c r="K123" s="64">
        <f>185648.9-0.06</f>
        <v>185648.8</v>
      </c>
      <c r="L123" s="64">
        <v>202256.7</v>
      </c>
      <c r="M123" s="65">
        <v>255851.4</v>
      </c>
      <c r="N123" s="91">
        <v>241567.4</v>
      </c>
      <c r="O123" s="91">
        <v>200007.4</v>
      </c>
      <c r="P123" s="92">
        <v>208257.9</v>
      </c>
      <c r="Q123" s="91">
        <v>200614.1</v>
      </c>
      <c r="R123" s="91">
        <v>200614.1</v>
      </c>
      <c r="S123" s="91">
        <v>200614.1</v>
      </c>
      <c r="T123" s="91">
        <v>200614.1</v>
      </c>
      <c r="U123" s="91">
        <v>299092.3</v>
      </c>
      <c r="V123" s="91">
        <v>299092.3</v>
      </c>
      <c r="W123" s="126">
        <f>J123+K123+L123+M123+N123+P123+R123+T123+V123</f>
        <v>1969714.9</v>
      </c>
      <c r="X123" s="28">
        <v>2024</v>
      </c>
      <c r="Y123" s="140">
        <f t="shared" si="31"/>
        <v>8250.5</v>
      </c>
      <c r="Z123" s="141">
        <f t="shared" si="32"/>
        <v>0</v>
      </c>
      <c r="AA123" s="140">
        <f t="shared" si="33"/>
        <v>0</v>
      </c>
      <c r="AB123" s="140">
        <f t="shared" si="34"/>
        <v>0</v>
      </c>
    </row>
    <row r="124" spans="1:28" s="2" customFormat="1" ht="12.75">
      <c r="A124" s="21" t="s">
        <v>19</v>
      </c>
      <c r="B124" s="22">
        <v>1</v>
      </c>
      <c r="C124" s="22">
        <v>1</v>
      </c>
      <c r="D124" s="22">
        <v>3</v>
      </c>
      <c r="E124" s="22">
        <v>0</v>
      </c>
      <c r="F124" s="22">
        <v>3</v>
      </c>
      <c r="G124" s="22">
        <v>2</v>
      </c>
      <c r="H124" s="26" t="s">
        <v>23</v>
      </c>
      <c r="I124" s="22" t="s">
        <v>21</v>
      </c>
      <c r="J124" s="64">
        <v>0</v>
      </c>
      <c r="K124" s="64">
        <v>6749.3</v>
      </c>
      <c r="L124" s="64">
        <v>27325.4</v>
      </c>
      <c r="M124" s="65">
        <v>0</v>
      </c>
      <c r="N124" s="91">
        <v>11250.3</v>
      </c>
      <c r="O124" s="91">
        <v>0</v>
      </c>
      <c r="P124" s="92">
        <v>8237.3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126">
        <f>J124+K124+L124+M124+N124+P124+R124+T124+V124</f>
        <v>53562.3</v>
      </c>
      <c r="X124" s="200">
        <v>2021</v>
      </c>
      <c r="Y124" s="140">
        <f t="shared" si="31"/>
        <v>8237.3</v>
      </c>
      <c r="Z124" s="141">
        <f t="shared" si="32"/>
        <v>0</v>
      </c>
      <c r="AA124" s="140">
        <f t="shared" si="33"/>
        <v>0</v>
      </c>
      <c r="AB124" s="140">
        <f t="shared" si="34"/>
        <v>0</v>
      </c>
    </row>
    <row r="125" spans="1:28" ht="38.25">
      <c r="A125" s="21" t="s">
        <v>19</v>
      </c>
      <c r="B125" s="22">
        <v>1</v>
      </c>
      <c r="C125" s="22">
        <v>1</v>
      </c>
      <c r="D125" s="22">
        <v>3</v>
      </c>
      <c r="E125" s="22">
        <v>0</v>
      </c>
      <c r="F125" s="22">
        <v>3</v>
      </c>
      <c r="G125" s="43"/>
      <c r="H125" s="44" t="s">
        <v>115</v>
      </c>
      <c r="I125" s="43" t="s">
        <v>116</v>
      </c>
      <c r="J125" s="93">
        <v>1971529</v>
      </c>
      <c r="K125" s="93">
        <f>1971529+228097+14685+6257</f>
        <v>2220568</v>
      </c>
      <c r="L125" s="93">
        <v>2655571</v>
      </c>
      <c r="M125" s="94">
        <v>2264470</v>
      </c>
      <c r="N125" s="190">
        <v>2306164</v>
      </c>
      <c r="O125" s="190">
        <v>2329796</v>
      </c>
      <c r="P125" s="191">
        <v>2329796</v>
      </c>
      <c r="Q125" s="191">
        <v>2329796</v>
      </c>
      <c r="R125" s="191">
        <v>2329796</v>
      </c>
      <c r="S125" s="191">
        <v>2329796</v>
      </c>
      <c r="T125" s="191">
        <v>2329796</v>
      </c>
      <c r="U125" s="191">
        <v>2329796</v>
      </c>
      <c r="V125" s="191">
        <v>2329796</v>
      </c>
      <c r="W125" s="93">
        <f>(J125+K125+L125+M125+N125+P125+R125+T125+V125)/9</f>
        <v>2304165</v>
      </c>
      <c r="X125" s="30">
        <v>2024</v>
      </c>
      <c r="Y125" s="140">
        <f t="shared" si="31"/>
        <v>0</v>
      </c>
      <c r="Z125" s="141">
        <f t="shared" si="32"/>
        <v>0</v>
      </c>
      <c r="AA125" s="140">
        <f t="shared" si="33"/>
        <v>0</v>
      </c>
      <c r="AB125" s="140">
        <f t="shared" si="34"/>
        <v>0</v>
      </c>
    </row>
    <row r="126" spans="1:28" ht="51">
      <c r="A126" s="21" t="s">
        <v>19</v>
      </c>
      <c r="B126" s="22">
        <v>1</v>
      </c>
      <c r="C126" s="22">
        <v>1</v>
      </c>
      <c r="D126" s="22">
        <v>3</v>
      </c>
      <c r="E126" s="22">
        <v>0</v>
      </c>
      <c r="F126" s="22">
        <v>3</v>
      </c>
      <c r="G126" s="43"/>
      <c r="H126" s="44" t="s">
        <v>117</v>
      </c>
      <c r="I126" s="43" t="s">
        <v>28</v>
      </c>
      <c r="J126" s="76">
        <f>J123/J9*100</f>
        <v>15.9</v>
      </c>
      <c r="K126" s="76">
        <f>K123/K10*100</f>
        <v>8.8</v>
      </c>
      <c r="L126" s="76">
        <f>L123/L9*100</f>
        <v>14.5</v>
      </c>
      <c r="M126" s="76">
        <f>M123/M9*100</f>
        <v>14.7</v>
      </c>
      <c r="N126" s="76">
        <f>N123/N9*100</f>
        <v>14.9</v>
      </c>
      <c r="O126" s="76">
        <v>12.7</v>
      </c>
      <c r="P126" s="192">
        <f>P123/P9*100</f>
        <v>12.6</v>
      </c>
      <c r="Q126" s="76">
        <v>12.8</v>
      </c>
      <c r="R126" s="171">
        <f>R123/R9*100</f>
        <v>12.7</v>
      </c>
      <c r="S126" s="76">
        <v>12.6</v>
      </c>
      <c r="T126" s="171">
        <f>T123/T9*100</f>
        <v>12.6</v>
      </c>
      <c r="U126" s="76">
        <v>18.4</v>
      </c>
      <c r="V126" s="171">
        <f>V123/V9*100</f>
        <v>18.4</v>
      </c>
      <c r="W126" s="76">
        <f>W123/W9*100</f>
        <v>14.6</v>
      </c>
      <c r="X126" s="30">
        <v>2024</v>
      </c>
      <c r="Y126" s="140">
        <f t="shared" si="31"/>
        <v>-0.1</v>
      </c>
      <c r="Z126" s="141">
        <f t="shared" si="32"/>
        <v>-0.1</v>
      </c>
      <c r="AA126" s="140">
        <f t="shared" si="33"/>
        <v>0</v>
      </c>
      <c r="AB126" s="140">
        <f t="shared" si="34"/>
        <v>0</v>
      </c>
    </row>
    <row r="127" spans="1:28" ht="38.25">
      <c r="A127" s="22" t="s">
        <v>19</v>
      </c>
      <c r="B127" s="22">
        <v>1</v>
      </c>
      <c r="C127" s="22">
        <v>1</v>
      </c>
      <c r="D127" s="22">
        <v>3</v>
      </c>
      <c r="E127" s="22">
        <v>0</v>
      </c>
      <c r="F127" s="22">
        <v>3</v>
      </c>
      <c r="G127" s="161"/>
      <c r="H127" s="162" t="s">
        <v>118</v>
      </c>
      <c r="I127" s="161" t="s">
        <v>119</v>
      </c>
      <c r="J127" s="70">
        <v>0</v>
      </c>
      <c r="K127" s="70">
        <v>36066</v>
      </c>
      <c r="L127" s="70">
        <v>42098.7</v>
      </c>
      <c r="M127" s="71">
        <v>45742</v>
      </c>
      <c r="N127" s="71">
        <v>51170.1</v>
      </c>
      <c r="O127" s="71">
        <v>51170.1</v>
      </c>
      <c r="P127" s="179">
        <v>54013.2</v>
      </c>
      <c r="Q127" s="71">
        <v>51170.1</v>
      </c>
      <c r="R127" s="179">
        <v>54013.2</v>
      </c>
      <c r="S127" s="71">
        <v>51170.1</v>
      </c>
      <c r="T127" s="179">
        <v>54013.2</v>
      </c>
      <c r="U127" s="71">
        <v>51170.1</v>
      </c>
      <c r="V127" s="179">
        <v>54013.2</v>
      </c>
      <c r="W127" s="179">
        <v>54013.2</v>
      </c>
      <c r="X127" s="30">
        <v>2024</v>
      </c>
      <c r="Y127" s="140">
        <f t="shared" si="31"/>
        <v>2843.1</v>
      </c>
      <c r="Z127" s="141">
        <f t="shared" si="32"/>
        <v>2843.1</v>
      </c>
      <c r="AA127" s="140">
        <f t="shared" si="33"/>
        <v>2843.1</v>
      </c>
      <c r="AB127" s="140">
        <f t="shared" si="34"/>
        <v>2843.1</v>
      </c>
    </row>
    <row r="128" spans="1:28" ht="63.75">
      <c r="A128" s="21" t="s">
        <v>19</v>
      </c>
      <c r="B128" s="22">
        <v>1</v>
      </c>
      <c r="C128" s="22">
        <v>1</v>
      </c>
      <c r="D128" s="22">
        <v>3</v>
      </c>
      <c r="E128" s="22">
        <v>0</v>
      </c>
      <c r="F128" s="22">
        <v>3</v>
      </c>
      <c r="G128" s="43"/>
      <c r="H128" s="44" t="s">
        <v>120</v>
      </c>
      <c r="I128" s="43" t="s">
        <v>48</v>
      </c>
      <c r="J128" s="99">
        <v>0</v>
      </c>
      <c r="K128" s="93">
        <v>0</v>
      </c>
      <c r="L128" s="93">
        <v>115</v>
      </c>
      <c r="M128" s="163">
        <v>111</v>
      </c>
      <c r="N128" s="100">
        <v>105</v>
      </c>
      <c r="O128" s="100">
        <v>111</v>
      </c>
      <c r="P128" s="164">
        <v>111</v>
      </c>
      <c r="Q128" s="164">
        <v>111</v>
      </c>
      <c r="R128" s="164">
        <v>111</v>
      </c>
      <c r="S128" s="164">
        <v>111</v>
      </c>
      <c r="T128" s="164">
        <v>111</v>
      </c>
      <c r="U128" s="164">
        <v>111</v>
      </c>
      <c r="V128" s="164">
        <v>111</v>
      </c>
      <c r="W128" s="93">
        <f>J128+K128+L128+M128+N128+P128+R128+T128+V128</f>
        <v>775</v>
      </c>
      <c r="X128" s="30">
        <v>2024</v>
      </c>
      <c r="Y128" s="140">
        <f t="shared" si="31"/>
        <v>0</v>
      </c>
      <c r="Z128" s="141">
        <f t="shared" si="32"/>
        <v>0</v>
      </c>
      <c r="AA128" s="140">
        <f t="shared" si="33"/>
        <v>0</v>
      </c>
      <c r="AB128" s="140">
        <f t="shared" si="34"/>
        <v>0</v>
      </c>
    </row>
    <row r="129" spans="1:28" s="6" customFormat="1" ht="54.75" customHeight="1">
      <c r="A129" s="205" t="s">
        <v>19</v>
      </c>
      <c r="B129" s="206">
        <v>1</v>
      </c>
      <c r="C129" s="206">
        <v>1</v>
      </c>
      <c r="D129" s="206">
        <v>3</v>
      </c>
      <c r="E129" s="206">
        <v>0</v>
      </c>
      <c r="F129" s="206">
        <v>3</v>
      </c>
      <c r="G129" s="207"/>
      <c r="H129" s="208" t="s">
        <v>121</v>
      </c>
      <c r="I129" s="207" t="s">
        <v>48</v>
      </c>
      <c r="J129" s="215">
        <v>0</v>
      </c>
      <c r="K129" s="190">
        <v>0</v>
      </c>
      <c r="L129" s="190">
        <v>0</v>
      </c>
      <c r="M129" s="215">
        <v>0</v>
      </c>
      <c r="N129" s="215">
        <v>194</v>
      </c>
      <c r="O129" s="215">
        <v>271</v>
      </c>
      <c r="P129" s="216">
        <v>271</v>
      </c>
      <c r="Q129" s="216">
        <v>271</v>
      </c>
      <c r="R129" s="216">
        <v>271</v>
      </c>
      <c r="S129" s="216">
        <v>271</v>
      </c>
      <c r="T129" s="216">
        <v>271</v>
      </c>
      <c r="U129" s="216">
        <v>163</v>
      </c>
      <c r="V129" s="216">
        <v>163</v>
      </c>
      <c r="W129" s="190">
        <f>J129+K129+L129+M129+N129+P129+R129+T129+V129</f>
        <v>1170</v>
      </c>
      <c r="X129" s="207">
        <v>2024</v>
      </c>
      <c r="Y129" s="140">
        <f t="shared" si="31"/>
        <v>0</v>
      </c>
      <c r="Z129" s="141">
        <f t="shared" si="32"/>
        <v>0</v>
      </c>
      <c r="AA129" s="140">
        <f t="shared" si="33"/>
        <v>0</v>
      </c>
      <c r="AB129" s="140">
        <f t="shared" si="34"/>
        <v>0</v>
      </c>
    </row>
    <row r="130" spans="1:28" s="2" customFormat="1" ht="63.75">
      <c r="A130" s="36" t="s">
        <v>19</v>
      </c>
      <c r="B130" s="37">
        <v>1</v>
      </c>
      <c r="C130" s="37">
        <v>1</v>
      </c>
      <c r="D130" s="37">
        <v>3</v>
      </c>
      <c r="E130" s="37">
        <v>0</v>
      </c>
      <c r="F130" s="37">
        <v>4</v>
      </c>
      <c r="G130" s="37" t="s">
        <v>96</v>
      </c>
      <c r="H130" s="40" t="s">
        <v>122</v>
      </c>
      <c r="I130" s="37" t="s">
        <v>21</v>
      </c>
      <c r="J130" s="88">
        <f>J131</f>
        <v>2193.3</v>
      </c>
      <c r="K130" s="88">
        <f>K131</f>
        <v>3545.2</v>
      </c>
      <c r="L130" s="88">
        <f aca="true" t="shared" si="36" ref="L130:V130">L131+L132</f>
        <v>4830.9</v>
      </c>
      <c r="M130" s="89">
        <f t="shared" si="36"/>
        <v>6935.8</v>
      </c>
      <c r="N130" s="89">
        <v>7397.8</v>
      </c>
      <c r="O130" s="89">
        <v>5350</v>
      </c>
      <c r="P130" s="90">
        <f t="shared" si="36"/>
        <v>5634.8</v>
      </c>
      <c r="Q130" s="89">
        <v>5753.8</v>
      </c>
      <c r="R130" s="89">
        <f t="shared" si="36"/>
        <v>5753.8</v>
      </c>
      <c r="S130" s="89">
        <v>5753.8</v>
      </c>
      <c r="T130" s="89">
        <f t="shared" si="36"/>
        <v>5753.8</v>
      </c>
      <c r="U130" s="89">
        <v>7723.9</v>
      </c>
      <c r="V130" s="89">
        <f t="shared" si="36"/>
        <v>7723.9</v>
      </c>
      <c r="W130" s="88">
        <f>J130+K130+L130+M130+N130+P130+R130+T130+V130</f>
        <v>49769.3</v>
      </c>
      <c r="X130" s="37">
        <v>2024</v>
      </c>
      <c r="Y130" s="140">
        <f t="shared" si="31"/>
        <v>284.8</v>
      </c>
      <c r="Z130" s="141">
        <f t="shared" si="32"/>
        <v>0</v>
      </c>
      <c r="AA130" s="140">
        <f t="shared" si="33"/>
        <v>0</v>
      </c>
      <c r="AB130" s="140">
        <f t="shared" si="34"/>
        <v>0</v>
      </c>
    </row>
    <row r="131" spans="1:28" s="2" customFormat="1" ht="12.75">
      <c r="A131" s="21" t="s">
        <v>19</v>
      </c>
      <c r="B131" s="22">
        <v>1</v>
      </c>
      <c r="C131" s="22">
        <v>1</v>
      </c>
      <c r="D131" s="22">
        <v>3</v>
      </c>
      <c r="E131" s="22">
        <v>0</v>
      </c>
      <c r="F131" s="22">
        <v>4</v>
      </c>
      <c r="G131" s="22">
        <v>3</v>
      </c>
      <c r="H131" s="26" t="s">
        <v>22</v>
      </c>
      <c r="I131" s="22" t="s">
        <v>21</v>
      </c>
      <c r="J131" s="64">
        <f>3678.2-1484.9</f>
        <v>2193.3</v>
      </c>
      <c r="K131" s="64">
        <v>3545.2</v>
      </c>
      <c r="L131" s="64">
        <v>2880.9</v>
      </c>
      <c r="M131" s="65">
        <v>6935.8</v>
      </c>
      <c r="N131" s="91">
        <v>7397.8</v>
      </c>
      <c r="O131" s="91">
        <v>5350</v>
      </c>
      <c r="P131" s="92">
        <v>5634.8</v>
      </c>
      <c r="Q131" s="91">
        <v>5753.8</v>
      </c>
      <c r="R131" s="91">
        <v>5753.8</v>
      </c>
      <c r="S131" s="91">
        <v>5753.8</v>
      </c>
      <c r="T131" s="91">
        <v>5753.8</v>
      </c>
      <c r="U131" s="65">
        <v>7723.9</v>
      </c>
      <c r="V131" s="65">
        <v>7723.9</v>
      </c>
      <c r="W131" s="64">
        <f>J131+K131+L131+M131+N131+P131+R131+V131+T131</f>
        <v>47819.3</v>
      </c>
      <c r="X131" s="28">
        <v>2024</v>
      </c>
      <c r="Y131" s="140">
        <f t="shared" si="31"/>
        <v>284.8</v>
      </c>
      <c r="Z131" s="141">
        <f t="shared" si="32"/>
        <v>0</v>
      </c>
      <c r="AA131" s="140">
        <f t="shared" si="33"/>
        <v>0</v>
      </c>
      <c r="AB131" s="140">
        <f t="shared" si="34"/>
        <v>0</v>
      </c>
    </row>
    <row r="132" spans="1:28" s="2" customFormat="1" ht="12.75">
      <c r="A132" s="21" t="s">
        <v>19</v>
      </c>
      <c r="B132" s="22">
        <v>1</v>
      </c>
      <c r="C132" s="22">
        <v>1</v>
      </c>
      <c r="D132" s="22">
        <v>3</v>
      </c>
      <c r="E132" s="22">
        <v>0</v>
      </c>
      <c r="F132" s="22">
        <v>4</v>
      </c>
      <c r="G132" s="22">
        <v>2</v>
      </c>
      <c r="H132" s="26" t="s">
        <v>23</v>
      </c>
      <c r="I132" s="22" t="s">
        <v>21</v>
      </c>
      <c r="J132" s="64">
        <v>0</v>
      </c>
      <c r="K132" s="64">
        <v>0</v>
      </c>
      <c r="L132" s="64">
        <v>1950</v>
      </c>
      <c r="M132" s="65">
        <v>0</v>
      </c>
      <c r="N132" s="91">
        <v>0</v>
      </c>
      <c r="O132" s="91">
        <v>0</v>
      </c>
      <c r="P132" s="91">
        <v>0</v>
      </c>
      <c r="Q132" s="65">
        <v>0</v>
      </c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4">
        <f>J132+K132+L132+M132+N132+P132+R132+T132+V132</f>
        <v>1950</v>
      </c>
      <c r="X132" s="28">
        <v>2018</v>
      </c>
      <c r="Y132" s="140">
        <f t="shared" si="31"/>
        <v>0</v>
      </c>
      <c r="Z132" s="141">
        <f t="shared" si="32"/>
        <v>0</v>
      </c>
      <c r="AA132" s="140">
        <f t="shared" si="33"/>
        <v>0</v>
      </c>
      <c r="AB132" s="140">
        <f t="shared" si="34"/>
        <v>0</v>
      </c>
    </row>
    <row r="133" spans="1:28" ht="69.75" customHeight="1">
      <c r="A133" s="21" t="s">
        <v>19</v>
      </c>
      <c r="B133" s="22">
        <v>1</v>
      </c>
      <c r="C133" s="22">
        <v>1</v>
      </c>
      <c r="D133" s="22">
        <v>3</v>
      </c>
      <c r="E133" s="22">
        <v>0</v>
      </c>
      <c r="F133" s="22">
        <v>4</v>
      </c>
      <c r="G133" s="43"/>
      <c r="H133" s="44" t="s">
        <v>123</v>
      </c>
      <c r="I133" s="43" t="s">
        <v>57</v>
      </c>
      <c r="J133" s="93">
        <v>7</v>
      </c>
      <c r="K133" s="93">
        <v>7</v>
      </c>
      <c r="L133" s="93">
        <v>7</v>
      </c>
      <c r="M133" s="94">
        <v>6</v>
      </c>
      <c r="N133" s="190">
        <v>6</v>
      </c>
      <c r="O133" s="95">
        <v>6</v>
      </c>
      <c r="P133" s="95">
        <v>6</v>
      </c>
      <c r="Q133" s="94">
        <v>6</v>
      </c>
      <c r="R133" s="94">
        <v>6</v>
      </c>
      <c r="S133" s="94">
        <v>6</v>
      </c>
      <c r="T133" s="94">
        <v>6</v>
      </c>
      <c r="U133" s="94">
        <v>6</v>
      </c>
      <c r="V133" s="94">
        <v>6</v>
      </c>
      <c r="W133" s="93">
        <v>6</v>
      </c>
      <c r="X133" s="30">
        <v>2024</v>
      </c>
      <c r="Y133" s="140">
        <f t="shared" si="31"/>
        <v>0</v>
      </c>
      <c r="Z133" s="141">
        <f t="shared" si="32"/>
        <v>0</v>
      </c>
      <c r="AA133" s="140">
        <f t="shared" si="33"/>
        <v>0</v>
      </c>
      <c r="AB133" s="140">
        <f t="shared" si="34"/>
        <v>0</v>
      </c>
    </row>
    <row r="134" spans="1:28" s="2" customFormat="1" ht="72" customHeight="1">
      <c r="A134" s="36" t="s">
        <v>19</v>
      </c>
      <c r="B134" s="37">
        <v>1</v>
      </c>
      <c r="C134" s="37">
        <v>1</v>
      </c>
      <c r="D134" s="37">
        <v>3</v>
      </c>
      <c r="E134" s="37">
        <v>0</v>
      </c>
      <c r="F134" s="37">
        <v>5</v>
      </c>
      <c r="G134" s="37" t="s">
        <v>96</v>
      </c>
      <c r="H134" s="40" t="s">
        <v>124</v>
      </c>
      <c r="I134" s="37" t="s">
        <v>21</v>
      </c>
      <c r="J134" s="88">
        <f aca="true" t="shared" si="37" ref="J134:V134">J135+J136</f>
        <v>0</v>
      </c>
      <c r="K134" s="88">
        <f t="shared" si="37"/>
        <v>0</v>
      </c>
      <c r="L134" s="88">
        <f t="shared" si="37"/>
        <v>4043.7</v>
      </c>
      <c r="M134" s="88">
        <f t="shared" si="37"/>
        <v>77772.6</v>
      </c>
      <c r="N134" s="88">
        <v>4586.4</v>
      </c>
      <c r="O134" s="88">
        <v>3461.3</v>
      </c>
      <c r="P134" s="109">
        <f t="shared" si="37"/>
        <v>3176.4</v>
      </c>
      <c r="Q134" s="88">
        <v>3057.5</v>
      </c>
      <c r="R134" s="88">
        <f t="shared" si="37"/>
        <v>3057.5</v>
      </c>
      <c r="S134" s="88">
        <v>3057.5</v>
      </c>
      <c r="T134" s="88">
        <f t="shared" si="37"/>
        <v>3057.5</v>
      </c>
      <c r="U134" s="88">
        <v>3057.5</v>
      </c>
      <c r="V134" s="88">
        <f t="shared" si="37"/>
        <v>3057.5</v>
      </c>
      <c r="W134" s="88">
        <f>J134+K134+L134+M134+N134+P134+R134+T134+V134</f>
        <v>98751.6</v>
      </c>
      <c r="X134" s="37">
        <v>2024</v>
      </c>
      <c r="Y134" s="140">
        <f t="shared" si="31"/>
        <v>-284.9</v>
      </c>
      <c r="Z134" s="141">
        <f t="shared" si="32"/>
        <v>0</v>
      </c>
      <c r="AA134" s="140">
        <f t="shared" si="33"/>
        <v>0</v>
      </c>
      <c r="AB134" s="140">
        <f t="shared" si="34"/>
        <v>0</v>
      </c>
    </row>
    <row r="135" spans="1:28" s="2" customFormat="1" ht="12.75">
      <c r="A135" s="21" t="s">
        <v>19</v>
      </c>
      <c r="B135" s="22">
        <v>1</v>
      </c>
      <c r="C135" s="22">
        <v>1</v>
      </c>
      <c r="D135" s="22">
        <v>3</v>
      </c>
      <c r="E135" s="22">
        <v>0</v>
      </c>
      <c r="F135" s="22">
        <v>5</v>
      </c>
      <c r="G135" s="22">
        <v>3</v>
      </c>
      <c r="H135" s="26" t="s">
        <v>22</v>
      </c>
      <c r="I135" s="22" t="s">
        <v>21</v>
      </c>
      <c r="J135" s="64">
        <v>0</v>
      </c>
      <c r="K135" s="64">
        <v>0</v>
      </c>
      <c r="L135" s="64">
        <v>4043.7</v>
      </c>
      <c r="M135" s="65">
        <v>1561</v>
      </c>
      <c r="N135" s="91">
        <v>4586.4</v>
      </c>
      <c r="O135" s="91">
        <v>3461.3</v>
      </c>
      <c r="P135" s="92">
        <v>3176.4</v>
      </c>
      <c r="Q135" s="65">
        <v>3057.5</v>
      </c>
      <c r="R135" s="65">
        <v>3057.5</v>
      </c>
      <c r="S135" s="65">
        <v>3057.5</v>
      </c>
      <c r="T135" s="65">
        <v>3057.5</v>
      </c>
      <c r="U135" s="65">
        <v>3057.5</v>
      </c>
      <c r="V135" s="65">
        <v>3057.5</v>
      </c>
      <c r="W135" s="138">
        <f>J135+K135+L135+M135+N135+P135+R135+T135+V135</f>
        <v>22540</v>
      </c>
      <c r="X135" s="28">
        <v>2024</v>
      </c>
      <c r="Y135" s="140">
        <f t="shared" si="31"/>
        <v>-284.9</v>
      </c>
      <c r="Z135" s="141">
        <f t="shared" si="32"/>
        <v>0</v>
      </c>
      <c r="AA135" s="140">
        <f t="shared" si="33"/>
        <v>0</v>
      </c>
      <c r="AB135" s="140">
        <f t="shared" si="34"/>
        <v>0</v>
      </c>
    </row>
    <row r="136" spans="1:28" s="2" customFormat="1" ht="12.75">
      <c r="A136" s="21" t="s">
        <v>19</v>
      </c>
      <c r="B136" s="22">
        <v>1</v>
      </c>
      <c r="C136" s="22">
        <v>1</v>
      </c>
      <c r="D136" s="22">
        <v>3</v>
      </c>
      <c r="E136" s="22">
        <v>0</v>
      </c>
      <c r="F136" s="22">
        <v>5</v>
      </c>
      <c r="G136" s="22">
        <v>2</v>
      </c>
      <c r="H136" s="26" t="s">
        <v>23</v>
      </c>
      <c r="I136" s="22" t="s">
        <v>21</v>
      </c>
      <c r="J136" s="64">
        <v>0</v>
      </c>
      <c r="K136" s="64">
        <v>0</v>
      </c>
      <c r="L136" s="64">
        <v>0</v>
      </c>
      <c r="M136" s="65">
        <v>76211.6</v>
      </c>
      <c r="N136" s="91">
        <v>0</v>
      </c>
      <c r="O136" s="91">
        <v>0</v>
      </c>
      <c r="P136" s="91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138">
        <f>J136+K136+L136+M136+N136+P136+R136+T136+V136</f>
        <v>76211.6</v>
      </c>
      <c r="X136" s="22">
        <v>2019</v>
      </c>
      <c r="Y136" s="140">
        <f t="shared" si="31"/>
        <v>0</v>
      </c>
      <c r="Z136" s="141">
        <f t="shared" si="32"/>
        <v>0</v>
      </c>
      <c r="AA136" s="140">
        <f t="shared" si="33"/>
        <v>0</v>
      </c>
      <c r="AB136" s="140">
        <f t="shared" si="34"/>
        <v>0</v>
      </c>
    </row>
    <row r="137" spans="1:28" ht="63.75">
      <c r="A137" s="21" t="s">
        <v>19</v>
      </c>
      <c r="B137" s="22">
        <v>1</v>
      </c>
      <c r="C137" s="22">
        <v>1</v>
      </c>
      <c r="D137" s="22">
        <v>3</v>
      </c>
      <c r="E137" s="22">
        <v>0</v>
      </c>
      <c r="F137" s="22">
        <v>5</v>
      </c>
      <c r="G137" s="22"/>
      <c r="H137" s="44" t="s">
        <v>125</v>
      </c>
      <c r="I137" s="43" t="s">
        <v>28</v>
      </c>
      <c r="J137" s="70">
        <v>0</v>
      </c>
      <c r="K137" s="70">
        <v>0</v>
      </c>
      <c r="L137" s="70">
        <v>10</v>
      </c>
      <c r="M137" s="72">
        <v>14.3</v>
      </c>
      <c r="N137" s="217">
        <v>65</v>
      </c>
      <c r="O137" s="217">
        <v>70</v>
      </c>
      <c r="P137" s="217">
        <v>70</v>
      </c>
      <c r="Q137" s="217">
        <v>75</v>
      </c>
      <c r="R137" s="217">
        <v>75</v>
      </c>
      <c r="S137" s="217">
        <v>80</v>
      </c>
      <c r="T137" s="217">
        <v>80</v>
      </c>
      <c r="U137" s="217">
        <v>85</v>
      </c>
      <c r="V137" s="217">
        <v>85</v>
      </c>
      <c r="W137" s="217">
        <v>85</v>
      </c>
      <c r="X137" s="30">
        <v>2024</v>
      </c>
      <c r="Y137" s="140">
        <f t="shared" si="31"/>
        <v>0</v>
      </c>
      <c r="Z137" s="141">
        <f t="shared" si="32"/>
        <v>0</v>
      </c>
      <c r="AA137" s="140">
        <f t="shared" si="33"/>
        <v>0</v>
      </c>
      <c r="AB137" s="140">
        <f t="shared" si="34"/>
        <v>0</v>
      </c>
    </row>
    <row r="138" spans="1:28" s="7" customFormat="1" ht="38.25">
      <c r="A138" s="209" t="s">
        <v>19</v>
      </c>
      <c r="B138" s="210">
        <v>1</v>
      </c>
      <c r="C138" s="210">
        <v>1</v>
      </c>
      <c r="D138" s="210">
        <v>3</v>
      </c>
      <c r="E138" s="210">
        <v>0</v>
      </c>
      <c r="F138" s="210">
        <v>5</v>
      </c>
      <c r="G138" s="210"/>
      <c r="H138" s="211" t="s">
        <v>126</v>
      </c>
      <c r="I138" s="218" t="s">
        <v>57</v>
      </c>
      <c r="J138" s="219">
        <v>0</v>
      </c>
      <c r="K138" s="219">
        <v>0</v>
      </c>
      <c r="L138" s="219">
        <v>5</v>
      </c>
      <c r="M138" s="220">
        <v>1</v>
      </c>
      <c r="N138" s="219">
        <v>3</v>
      </c>
      <c r="O138" s="221">
        <v>2</v>
      </c>
      <c r="P138" s="221">
        <v>0</v>
      </c>
      <c r="Q138" s="221">
        <v>0</v>
      </c>
      <c r="R138" s="221">
        <v>0</v>
      </c>
      <c r="S138" s="221">
        <v>1</v>
      </c>
      <c r="T138" s="221">
        <v>0</v>
      </c>
      <c r="U138" s="221">
        <v>1</v>
      </c>
      <c r="V138" s="221">
        <v>0</v>
      </c>
      <c r="W138" s="221">
        <f>SUM(J138:V138)</f>
        <v>13</v>
      </c>
      <c r="X138" s="231">
        <v>2020</v>
      </c>
      <c r="Y138" s="238">
        <f t="shared" si="31"/>
        <v>-2</v>
      </c>
      <c r="Z138" s="239">
        <f t="shared" si="32"/>
        <v>0</v>
      </c>
      <c r="AA138" s="238">
        <f t="shared" si="33"/>
        <v>-1</v>
      </c>
      <c r="AB138" s="238">
        <f t="shared" si="34"/>
        <v>-1</v>
      </c>
    </row>
    <row r="139" spans="1:28" ht="89.25">
      <c r="A139" s="21" t="s">
        <v>19</v>
      </c>
      <c r="B139" s="22">
        <v>1</v>
      </c>
      <c r="C139" s="22">
        <v>1</v>
      </c>
      <c r="D139" s="22">
        <v>3</v>
      </c>
      <c r="E139" s="22">
        <v>0</v>
      </c>
      <c r="F139" s="22">
        <v>5</v>
      </c>
      <c r="G139" s="22"/>
      <c r="H139" s="44" t="s">
        <v>127</v>
      </c>
      <c r="I139" s="43" t="s">
        <v>128</v>
      </c>
      <c r="J139" s="93">
        <v>0</v>
      </c>
      <c r="K139" s="93">
        <v>0</v>
      </c>
      <c r="L139" s="93">
        <v>0</v>
      </c>
      <c r="M139" s="94">
        <v>800</v>
      </c>
      <c r="N139" s="190">
        <v>4000</v>
      </c>
      <c r="O139" s="190">
        <v>800</v>
      </c>
      <c r="P139" s="190">
        <v>800</v>
      </c>
      <c r="Q139" s="190">
        <v>800</v>
      </c>
      <c r="R139" s="190">
        <v>800</v>
      </c>
      <c r="S139" s="190">
        <v>800</v>
      </c>
      <c r="T139" s="190">
        <v>800</v>
      </c>
      <c r="U139" s="190">
        <v>800</v>
      </c>
      <c r="V139" s="190">
        <v>800</v>
      </c>
      <c r="W139" s="190">
        <f>J139+K139+L139+M139+N139+P139+R139+T139+V139</f>
        <v>8000</v>
      </c>
      <c r="X139" s="30">
        <v>2024</v>
      </c>
      <c r="Y139" s="140">
        <f t="shared" si="31"/>
        <v>0</v>
      </c>
      <c r="Z139" s="141">
        <f t="shared" si="32"/>
        <v>0</v>
      </c>
      <c r="AA139" s="140">
        <f t="shared" si="33"/>
        <v>0</v>
      </c>
      <c r="AB139" s="140">
        <f t="shared" si="34"/>
        <v>0</v>
      </c>
    </row>
    <row r="140" spans="1:29" s="4" customFormat="1" ht="51">
      <c r="A140" s="147" t="s">
        <v>19</v>
      </c>
      <c r="B140" s="148">
        <v>1</v>
      </c>
      <c r="C140" s="148">
        <v>1</v>
      </c>
      <c r="D140" s="148">
        <v>3</v>
      </c>
      <c r="E140" s="148">
        <v>0</v>
      </c>
      <c r="F140" s="148">
        <v>5</v>
      </c>
      <c r="G140" s="148"/>
      <c r="H140" s="212" t="s">
        <v>129</v>
      </c>
      <c r="I140" s="150" t="s">
        <v>57</v>
      </c>
      <c r="J140" s="199">
        <v>0</v>
      </c>
      <c r="K140" s="199">
        <v>0</v>
      </c>
      <c r="L140" s="199">
        <v>0</v>
      </c>
      <c r="M140" s="222">
        <v>0</v>
      </c>
      <c r="N140" s="223">
        <v>0</v>
      </c>
      <c r="O140" s="223"/>
      <c r="P140" s="223">
        <v>4</v>
      </c>
      <c r="Q140" s="223"/>
      <c r="R140" s="232">
        <v>1</v>
      </c>
      <c r="S140" s="232"/>
      <c r="T140" s="232">
        <v>1</v>
      </c>
      <c r="U140" s="232"/>
      <c r="V140" s="232">
        <v>1</v>
      </c>
      <c r="W140" s="223">
        <f>J140+K140+L140+M140+N140+P140+R140+T140+V140</f>
        <v>7</v>
      </c>
      <c r="X140" s="194">
        <v>2024</v>
      </c>
      <c r="Y140" s="140">
        <f t="shared" si="31"/>
        <v>4</v>
      </c>
      <c r="Z140" s="141">
        <f t="shared" si="32"/>
        <v>1</v>
      </c>
      <c r="AA140" s="140">
        <f t="shared" si="33"/>
        <v>1</v>
      </c>
      <c r="AB140" s="140">
        <f t="shared" si="34"/>
        <v>1</v>
      </c>
      <c r="AC140" s="1"/>
    </row>
    <row r="141" spans="1:28" s="3" customFormat="1" ht="51">
      <c r="A141" s="36" t="s">
        <v>19</v>
      </c>
      <c r="B141" s="37">
        <v>1</v>
      </c>
      <c r="C141" s="37">
        <v>1</v>
      </c>
      <c r="D141" s="37">
        <v>3</v>
      </c>
      <c r="E141" s="37">
        <v>0</v>
      </c>
      <c r="F141" s="37">
        <v>6</v>
      </c>
      <c r="G141" s="37">
        <v>3</v>
      </c>
      <c r="H141" s="40" t="s">
        <v>130</v>
      </c>
      <c r="I141" s="37" t="s">
        <v>21</v>
      </c>
      <c r="J141" s="88">
        <f>J142+J144</f>
        <v>0</v>
      </c>
      <c r="K141" s="88">
        <f>K142+K144</f>
        <v>0</v>
      </c>
      <c r="L141" s="88">
        <f>L142+L144</f>
        <v>0</v>
      </c>
      <c r="M141" s="88">
        <f>M142+M144</f>
        <v>0</v>
      </c>
      <c r="N141" s="88">
        <v>28331.8</v>
      </c>
      <c r="O141" s="88">
        <v>75172.9</v>
      </c>
      <c r="P141" s="88">
        <f>P142</f>
        <v>75172.9</v>
      </c>
      <c r="Q141" s="88">
        <v>81517.7</v>
      </c>
      <c r="R141" s="88">
        <f>R142</f>
        <v>81517.7</v>
      </c>
      <c r="S141" s="88">
        <v>81517.7</v>
      </c>
      <c r="T141" s="88">
        <f>T142</f>
        <v>81517.7</v>
      </c>
      <c r="U141" s="88">
        <v>0</v>
      </c>
      <c r="V141" s="88">
        <f>V142</f>
        <v>0</v>
      </c>
      <c r="W141" s="88">
        <f>J141+K141+L141+M141+N141+P141+R141+T141+V141</f>
        <v>266540.1</v>
      </c>
      <c r="X141" s="37">
        <v>2024</v>
      </c>
      <c r="Y141" s="140">
        <f t="shared" si="31"/>
        <v>0</v>
      </c>
      <c r="Z141" s="141">
        <f t="shared" si="32"/>
        <v>0</v>
      </c>
      <c r="AA141" s="140">
        <f t="shared" si="33"/>
        <v>0</v>
      </c>
      <c r="AB141" s="140">
        <f t="shared" si="34"/>
        <v>0</v>
      </c>
    </row>
    <row r="142" spans="1:28" s="3" customFormat="1" ht="12.75">
      <c r="A142" s="21" t="s">
        <v>19</v>
      </c>
      <c r="B142" s="22">
        <v>1</v>
      </c>
      <c r="C142" s="22">
        <v>1</v>
      </c>
      <c r="D142" s="22">
        <v>3</v>
      </c>
      <c r="E142" s="22">
        <v>0</v>
      </c>
      <c r="F142" s="22">
        <v>6</v>
      </c>
      <c r="G142" s="22">
        <v>3</v>
      </c>
      <c r="H142" s="26" t="s">
        <v>22</v>
      </c>
      <c r="I142" s="22" t="s">
        <v>21</v>
      </c>
      <c r="J142" s="64">
        <v>0</v>
      </c>
      <c r="K142" s="64">
        <v>0</v>
      </c>
      <c r="L142" s="64">
        <v>0</v>
      </c>
      <c r="M142" s="65">
        <v>0</v>
      </c>
      <c r="N142" s="91">
        <v>27034</v>
      </c>
      <c r="O142" s="91">
        <v>75172.9</v>
      </c>
      <c r="P142" s="91">
        <v>75172.9</v>
      </c>
      <c r="Q142" s="65">
        <v>81517.7</v>
      </c>
      <c r="R142" s="65">
        <v>81517.7</v>
      </c>
      <c r="S142" s="65">
        <v>81517.7</v>
      </c>
      <c r="T142" s="65">
        <v>81517.7</v>
      </c>
      <c r="U142" s="65">
        <v>0</v>
      </c>
      <c r="V142" s="65">
        <v>0</v>
      </c>
      <c r="W142" s="138">
        <f>J142+K142+L142+M142+N142+P142+R142+T142+V142</f>
        <v>265242.3</v>
      </c>
      <c r="X142" s="28">
        <v>2024</v>
      </c>
      <c r="Y142" s="140">
        <f t="shared" si="31"/>
        <v>0</v>
      </c>
      <c r="Z142" s="141">
        <f t="shared" si="32"/>
        <v>0</v>
      </c>
      <c r="AA142" s="140">
        <f t="shared" si="33"/>
        <v>0</v>
      </c>
      <c r="AB142" s="140">
        <f t="shared" si="34"/>
        <v>0</v>
      </c>
    </row>
    <row r="143" spans="1:28" s="3" customFormat="1" ht="12.75">
      <c r="A143" s="21"/>
      <c r="B143" s="22"/>
      <c r="C143" s="22"/>
      <c r="D143" s="22"/>
      <c r="E143" s="22"/>
      <c r="F143" s="22"/>
      <c r="G143" s="22">
        <v>2</v>
      </c>
      <c r="H143" s="26" t="s">
        <v>23</v>
      </c>
      <c r="I143" s="22" t="s">
        <v>21</v>
      </c>
      <c r="J143" s="64"/>
      <c r="K143" s="64"/>
      <c r="L143" s="64"/>
      <c r="M143" s="65"/>
      <c r="N143" s="91">
        <v>1297.8</v>
      </c>
      <c r="O143" s="91"/>
      <c r="P143" s="91"/>
      <c r="Q143" s="65"/>
      <c r="R143" s="65"/>
      <c r="S143" s="65"/>
      <c r="T143" s="65"/>
      <c r="U143" s="65"/>
      <c r="V143" s="65"/>
      <c r="W143" s="138"/>
      <c r="X143" s="28">
        <v>2020</v>
      </c>
      <c r="Y143" s="140">
        <f t="shared" si="31"/>
        <v>0</v>
      </c>
      <c r="Z143" s="141">
        <f t="shared" si="32"/>
        <v>0</v>
      </c>
      <c r="AA143" s="140">
        <f t="shared" si="33"/>
        <v>0</v>
      </c>
      <c r="AB143" s="140">
        <f t="shared" si="34"/>
        <v>0</v>
      </c>
    </row>
    <row r="144" spans="1:28" s="4" customFormat="1" ht="51">
      <c r="A144" s="21" t="s">
        <v>19</v>
      </c>
      <c r="B144" s="22">
        <v>1</v>
      </c>
      <c r="C144" s="22">
        <v>1</v>
      </c>
      <c r="D144" s="22">
        <v>3</v>
      </c>
      <c r="E144" s="22">
        <v>0</v>
      </c>
      <c r="F144" s="22">
        <v>6</v>
      </c>
      <c r="G144" s="22"/>
      <c r="H144" s="44" t="s">
        <v>131</v>
      </c>
      <c r="I144" s="43" t="s">
        <v>132</v>
      </c>
      <c r="J144" s="70">
        <v>0</v>
      </c>
      <c r="K144" s="70">
        <v>0</v>
      </c>
      <c r="L144" s="70">
        <v>0</v>
      </c>
      <c r="M144" s="72">
        <v>0</v>
      </c>
      <c r="N144" s="217">
        <v>10.2</v>
      </c>
      <c r="O144" s="217">
        <v>14</v>
      </c>
      <c r="P144" s="224">
        <v>14</v>
      </c>
      <c r="Q144" s="224">
        <v>18</v>
      </c>
      <c r="R144" s="224">
        <v>18</v>
      </c>
      <c r="S144" s="224">
        <v>22</v>
      </c>
      <c r="T144" s="224">
        <v>22</v>
      </c>
      <c r="U144" s="224">
        <v>25</v>
      </c>
      <c r="V144" s="224">
        <v>25</v>
      </c>
      <c r="W144" s="217">
        <v>25</v>
      </c>
      <c r="X144" s="30">
        <v>2024</v>
      </c>
      <c r="Y144" s="140">
        <f t="shared" si="31"/>
        <v>0</v>
      </c>
      <c r="Z144" s="141">
        <f t="shared" si="32"/>
        <v>0</v>
      </c>
      <c r="AA144" s="140">
        <f t="shared" si="33"/>
        <v>0</v>
      </c>
      <c r="AB144" s="140">
        <f t="shared" si="34"/>
        <v>0</v>
      </c>
    </row>
    <row r="145" spans="1:28" s="4" customFormat="1" ht="51.75" customHeight="1">
      <c r="A145" s="21" t="s">
        <v>19</v>
      </c>
      <c r="B145" s="22">
        <v>1</v>
      </c>
      <c r="C145" s="22">
        <v>1</v>
      </c>
      <c r="D145" s="22">
        <v>3</v>
      </c>
      <c r="E145" s="22">
        <v>0</v>
      </c>
      <c r="F145" s="22">
        <v>6</v>
      </c>
      <c r="G145" s="22"/>
      <c r="H145" s="44" t="s">
        <v>133</v>
      </c>
      <c r="I145" s="43" t="s">
        <v>57</v>
      </c>
      <c r="J145" s="93">
        <v>0</v>
      </c>
      <c r="K145" s="93">
        <v>0</v>
      </c>
      <c r="L145" s="93">
        <v>0</v>
      </c>
      <c r="M145" s="94">
        <v>0</v>
      </c>
      <c r="N145" s="190">
        <v>1</v>
      </c>
      <c r="O145" s="190">
        <v>1</v>
      </c>
      <c r="P145" s="191">
        <v>1</v>
      </c>
      <c r="Q145" s="191">
        <v>1</v>
      </c>
      <c r="R145" s="191">
        <v>1</v>
      </c>
      <c r="S145" s="191">
        <v>1</v>
      </c>
      <c r="T145" s="191">
        <v>1</v>
      </c>
      <c r="U145" s="191">
        <v>1</v>
      </c>
      <c r="V145" s="191">
        <v>1</v>
      </c>
      <c r="W145" s="190">
        <v>1</v>
      </c>
      <c r="X145" s="30">
        <v>2024</v>
      </c>
      <c r="Y145" s="140">
        <f t="shared" si="31"/>
        <v>0</v>
      </c>
      <c r="Z145" s="141">
        <f t="shared" si="32"/>
        <v>0</v>
      </c>
      <c r="AA145" s="140">
        <f t="shared" si="33"/>
        <v>0</v>
      </c>
      <c r="AB145" s="140">
        <f t="shared" si="34"/>
        <v>0</v>
      </c>
    </row>
    <row r="146" spans="1:28" s="4" customFormat="1" ht="38.25">
      <c r="A146" s="21" t="s">
        <v>19</v>
      </c>
      <c r="B146" s="22">
        <v>1</v>
      </c>
      <c r="C146" s="22">
        <v>1</v>
      </c>
      <c r="D146" s="22">
        <v>3</v>
      </c>
      <c r="E146" s="22">
        <v>0</v>
      </c>
      <c r="F146" s="22">
        <v>6</v>
      </c>
      <c r="G146" s="22"/>
      <c r="H146" s="44" t="s">
        <v>134</v>
      </c>
      <c r="I146" s="43" t="s">
        <v>57</v>
      </c>
      <c r="J146" s="93">
        <v>0</v>
      </c>
      <c r="K146" s="93">
        <v>0</v>
      </c>
      <c r="L146" s="93">
        <v>0</v>
      </c>
      <c r="M146" s="94">
        <v>0</v>
      </c>
      <c r="N146" s="190">
        <v>1</v>
      </c>
      <c r="O146" s="190">
        <v>1</v>
      </c>
      <c r="P146" s="191">
        <v>1</v>
      </c>
      <c r="Q146" s="191">
        <v>1</v>
      </c>
      <c r="R146" s="191">
        <v>1</v>
      </c>
      <c r="S146" s="191">
        <v>1</v>
      </c>
      <c r="T146" s="191">
        <v>1</v>
      </c>
      <c r="U146" s="191">
        <v>1</v>
      </c>
      <c r="V146" s="191">
        <v>1</v>
      </c>
      <c r="W146" s="190">
        <v>1</v>
      </c>
      <c r="X146" s="30">
        <v>2024</v>
      </c>
      <c r="Y146" s="140">
        <f t="shared" si="31"/>
        <v>0</v>
      </c>
      <c r="Z146" s="141">
        <f t="shared" si="32"/>
        <v>0</v>
      </c>
      <c r="AA146" s="140">
        <f t="shared" si="33"/>
        <v>0</v>
      </c>
      <c r="AB146" s="140">
        <f t="shared" si="34"/>
        <v>0</v>
      </c>
    </row>
    <row r="147" spans="1:28" s="4" customFormat="1" ht="38.25">
      <c r="A147" s="21" t="s">
        <v>19</v>
      </c>
      <c r="B147" s="22">
        <v>1</v>
      </c>
      <c r="C147" s="22">
        <v>1</v>
      </c>
      <c r="D147" s="22">
        <v>3</v>
      </c>
      <c r="E147" s="22">
        <v>0</v>
      </c>
      <c r="F147" s="22">
        <v>6</v>
      </c>
      <c r="G147" s="22"/>
      <c r="H147" s="44" t="s">
        <v>135</v>
      </c>
      <c r="I147" s="43" t="s">
        <v>57</v>
      </c>
      <c r="J147" s="93">
        <v>0</v>
      </c>
      <c r="K147" s="93">
        <v>0</v>
      </c>
      <c r="L147" s="93">
        <v>0</v>
      </c>
      <c r="M147" s="94">
        <v>0</v>
      </c>
      <c r="N147" s="190">
        <v>7438</v>
      </c>
      <c r="O147" s="190">
        <v>6629</v>
      </c>
      <c r="P147" s="191">
        <v>6629</v>
      </c>
      <c r="Q147" s="131">
        <v>6943</v>
      </c>
      <c r="R147" s="233">
        <v>6943</v>
      </c>
      <c r="S147" s="233">
        <v>6933</v>
      </c>
      <c r="T147" s="233">
        <v>6933</v>
      </c>
      <c r="U147" s="233">
        <v>6985</v>
      </c>
      <c r="V147" s="233">
        <v>6985</v>
      </c>
      <c r="W147" s="190">
        <f>J147+K147+L147+M147+N147+P147+R147+T147+V147</f>
        <v>34928</v>
      </c>
      <c r="X147" s="30">
        <v>2024</v>
      </c>
      <c r="Y147" s="140">
        <f t="shared" si="31"/>
        <v>0</v>
      </c>
      <c r="Z147" s="141">
        <f t="shared" si="32"/>
        <v>0</v>
      </c>
      <c r="AA147" s="140">
        <f t="shared" si="33"/>
        <v>0</v>
      </c>
      <c r="AB147" s="140">
        <f t="shared" si="34"/>
        <v>0</v>
      </c>
    </row>
    <row r="148" spans="1:28" s="4" customFormat="1" ht="25.5">
      <c r="A148" s="21" t="s">
        <v>19</v>
      </c>
      <c r="B148" s="22">
        <v>1</v>
      </c>
      <c r="C148" s="22">
        <v>1</v>
      </c>
      <c r="D148" s="22">
        <v>3</v>
      </c>
      <c r="E148" s="22">
        <v>0</v>
      </c>
      <c r="F148" s="22">
        <v>6</v>
      </c>
      <c r="G148" s="22"/>
      <c r="H148" s="44" t="s">
        <v>136</v>
      </c>
      <c r="I148" s="43" t="s">
        <v>57</v>
      </c>
      <c r="J148" s="199"/>
      <c r="K148" s="199"/>
      <c r="L148" s="93"/>
      <c r="M148" s="94"/>
      <c r="N148" s="190"/>
      <c r="O148" s="190">
        <v>0</v>
      </c>
      <c r="P148" s="190">
        <v>0</v>
      </c>
      <c r="Q148" s="131">
        <v>0</v>
      </c>
      <c r="R148" s="131">
        <v>0</v>
      </c>
      <c r="S148" s="131">
        <v>0</v>
      </c>
      <c r="T148" s="131">
        <v>0</v>
      </c>
      <c r="U148" s="131">
        <v>1</v>
      </c>
      <c r="V148" s="131">
        <v>1</v>
      </c>
      <c r="W148" s="190">
        <v>1</v>
      </c>
      <c r="X148" s="30">
        <v>2024</v>
      </c>
      <c r="Y148" s="140"/>
      <c r="Z148" s="141"/>
      <c r="AA148" s="140"/>
      <c r="AB148" s="140"/>
    </row>
    <row r="149" spans="1:28" s="2" customFormat="1" ht="25.5">
      <c r="A149" s="160" t="s">
        <v>19</v>
      </c>
      <c r="B149" s="34">
        <v>1</v>
      </c>
      <c r="C149" s="34">
        <v>1</v>
      </c>
      <c r="D149" s="34">
        <v>4</v>
      </c>
      <c r="E149" s="34">
        <v>0</v>
      </c>
      <c r="F149" s="34">
        <v>0</v>
      </c>
      <c r="G149" s="34"/>
      <c r="H149" s="35" t="s">
        <v>137</v>
      </c>
      <c r="I149" s="34" t="s">
        <v>21</v>
      </c>
      <c r="J149" s="81">
        <f aca="true" t="shared" si="38" ref="J149:V149">J150</f>
        <v>2671</v>
      </c>
      <c r="K149" s="81">
        <f t="shared" si="38"/>
        <v>2745.5</v>
      </c>
      <c r="L149" s="81">
        <f t="shared" si="38"/>
        <v>2449.1</v>
      </c>
      <c r="M149" s="82">
        <f t="shared" si="38"/>
        <v>3503.8</v>
      </c>
      <c r="N149" s="82">
        <v>4878.2</v>
      </c>
      <c r="O149" s="82">
        <v>5080.8</v>
      </c>
      <c r="P149" s="225">
        <f>P150+P151</f>
        <v>5253.4</v>
      </c>
      <c r="Q149" s="82">
        <v>5080.8</v>
      </c>
      <c r="R149" s="234">
        <f t="shared" si="38"/>
        <v>5080.8</v>
      </c>
      <c r="S149" s="234">
        <v>5080.7</v>
      </c>
      <c r="T149" s="234">
        <f t="shared" si="38"/>
        <v>5080.7</v>
      </c>
      <c r="U149" s="234">
        <v>4756.7</v>
      </c>
      <c r="V149" s="234">
        <f t="shared" si="38"/>
        <v>4756.7</v>
      </c>
      <c r="W149" s="81">
        <f>J149+K149+L149+M149+N149+P149+R149+T149+V149</f>
        <v>36419.2</v>
      </c>
      <c r="X149" s="34">
        <v>2024</v>
      </c>
      <c r="Y149" s="140">
        <f aca="true" t="shared" si="39" ref="Y149:Y155">P149-O149</f>
        <v>172.6</v>
      </c>
      <c r="Z149" s="141">
        <f aca="true" t="shared" si="40" ref="Z149:Z155">R149-Q149</f>
        <v>0</v>
      </c>
      <c r="AA149" s="140">
        <f aca="true" t="shared" si="41" ref="AA149:AA155">T149-S149</f>
        <v>0</v>
      </c>
      <c r="AB149" s="140">
        <f aca="true" t="shared" si="42" ref="AB149:AB155">V149-U149</f>
        <v>0</v>
      </c>
    </row>
    <row r="150" spans="1:28" s="2" customFormat="1" ht="12.75">
      <c r="A150" s="21" t="s">
        <v>19</v>
      </c>
      <c r="B150" s="22">
        <v>1</v>
      </c>
      <c r="C150" s="22">
        <v>1</v>
      </c>
      <c r="D150" s="22">
        <v>4</v>
      </c>
      <c r="E150" s="22">
        <v>0</v>
      </c>
      <c r="F150" s="22">
        <v>0</v>
      </c>
      <c r="G150" s="22">
        <v>3</v>
      </c>
      <c r="H150" s="26" t="s">
        <v>22</v>
      </c>
      <c r="I150" s="22" t="s">
        <v>21</v>
      </c>
      <c r="J150" s="64">
        <f>J159+J167</f>
        <v>2671</v>
      </c>
      <c r="K150" s="64">
        <f>K159+K167</f>
        <v>2745.5</v>
      </c>
      <c r="L150" s="64">
        <f>L159+L167</f>
        <v>2449.1</v>
      </c>
      <c r="M150" s="65">
        <f>M159+M167+M170</f>
        <v>3503.8</v>
      </c>
      <c r="N150" s="91">
        <v>3815</v>
      </c>
      <c r="O150" s="91">
        <v>5080.8</v>
      </c>
      <c r="P150" s="92">
        <f>P159+P167+P170</f>
        <v>4807.7</v>
      </c>
      <c r="Q150" s="91">
        <v>5080.8</v>
      </c>
      <c r="R150" s="114">
        <f>R159+R167+R170</f>
        <v>5080.8</v>
      </c>
      <c r="S150" s="114">
        <v>5080.7</v>
      </c>
      <c r="T150" s="114">
        <f>T159+T167+T170</f>
        <v>5080.7</v>
      </c>
      <c r="U150" s="114">
        <v>4756.7</v>
      </c>
      <c r="V150" s="114">
        <f>V159+V167+V170</f>
        <v>4756.7</v>
      </c>
      <c r="W150" s="65">
        <f>J150+K150+L150+M150+N150+P150+R150+T150+V150</f>
        <v>34910.3</v>
      </c>
      <c r="X150" s="28">
        <v>2024</v>
      </c>
      <c r="Y150" s="140">
        <f t="shared" si="39"/>
        <v>-273.1</v>
      </c>
      <c r="Z150" s="141">
        <f t="shared" si="40"/>
        <v>0</v>
      </c>
      <c r="AA150" s="140">
        <f t="shared" si="41"/>
        <v>0</v>
      </c>
      <c r="AB150" s="140">
        <f t="shared" si="42"/>
        <v>0</v>
      </c>
    </row>
    <row r="151" spans="1:28" s="2" customFormat="1" ht="12.75">
      <c r="A151" s="21" t="s">
        <v>19</v>
      </c>
      <c r="B151" s="22">
        <v>1</v>
      </c>
      <c r="C151" s="22">
        <v>1</v>
      </c>
      <c r="D151" s="22">
        <v>4</v>
      </c>
      <c r="E151" s="22">
        <v>0</v>
      </c>
      <c r="F151" s="22">
        <v>0</v>
      </c>
      <c r="G151" s="22">
        <v>2</v>
      </c>
      <c r="H151" s="26" t="s">
        <v>138</v>
      </c>
      <c r="I151" s="22" t="s">
        <v>21</v>
      </c>
      <c r="J151" s="64">
        <v>0</v>
      </c>
      <c r="K151" s="64">
        <v>0</v>
      </c>
      <c r="L151" s="64">
        <v>0</v>
      </c>
      <c r="M151" s="65">
        <v>0</v>
      </c>
      <c r="N151" s="91">
        <v>1063.2</v>
      </c>
      <c r="O151" s="91">
        <v>0</v>
      </c>
      <c r="P151" s="92">
        <f>P160+P171</f>
        <v>445.7</v>
      </c>
      <c r="Q151" s="91">
        <v>0</v>
      </c>
      <c r="R151" s="114">
        <v>0</v>
      </c>
      <c r="S151" s="114">
        <v>0</v>
      </c>
      <c r="T151" s="114">
        <v>0</v>
      </c>
      <c r="U151" s="114">
        <v>0</v>
      </c>
      <c r="V151" s="114">
        <v>0</v>
      </c>
      <c r="W151" s="65">
        <f>J151+K151+L151+M151+N151+P151+R151+T151+V151</f>
        <v>1508.9</v>
      </c>
      <c r="X151" s="133">
        <v>2021</v>
      </c>
      <c r="Y151" s="140">
        <f t="shared" si="39"/>
        <v>445.7</v>
      </c>
      <c r="Z151" s="141">
        <f t="shared" si="40"/>
        <v>0</v>
      </c>
      <c r="AA151" s="140">
        <f t="shared" si="41"/>
        <v>0</v>
      </c>
      <c r="AB151" s="140">
        <f t="shared" si="42"/>
        <v>0</v>
      </c>
    </row>
    <row r="152" spans="1:28" ht="51">
      <c r="A152" s="21" t="s">
        <v>19</v>
      </c>
      <c r="B152" s="22">
        <v>1</v>
      </c>
      <c r="C152" s="22">
        <v>1</v>
      </c>
      <c r="D152" s="22">
        <v>4</v>
      </c>
      <c r="E152" s="22">
        <v>0</v>
      </c>
      <c r="F152" s="22">
        <v>0</v>
      </c>
      <c r="G152" s="43"/>
      <c r="H152" s="44" t="s">
        <v>139</v>
      </c>
      <c r="I152" s="43" t="s">
        <v>28</v>
      </c>
      <c r="J152" s="76">
        <f>J150/J9*100</f>
        <v>0.2</v>
      </c>
      <c r="K152" s="76">
        <f>K150/K9*100</f>
        <v>0.2</v>
      </c>
      <c r="L152" s="76">
        <f>L150/L9*100</f>
        <v>0.2</v>
      </c>
      <c r="M152" s="76">
        <f>M150/M9*100</f>
        <v>0.2</v>
      </c>
      <c r="N152" s="76">
        <f>N150/N9*100</f>
        <v>0.2</v>
      </c>
      <c r="O152" s="76">
        <v>0.3</v>
      </c>
      <c r="P152" s="226">
        <f>P150/P9*100</f>
        <v>0.3</v>
      </c>
      <c r="Q152" s="76">
        <v>0.3</v>
      </c>
      <c r="R152" s="235">
        <f>R150/R9*100</f>
        <v>0.3</v>
      </c>
      <c r="S152" s="235">
        <v>0.3</v>
      </c>
      <c r="T152" s="235">
        <f>T150/T9*100</f>
        <v>0.3</v>
      </c>
      <c r="U152" s="235">
        <v>0.3</v>
      </c>
      <c r="V152" s="235">
        <f>V150/V9*100</f>
        <v>0.3</v>
      </c>
      <c r="W152" s="236">
        <v>0.3</v>
      </c>
      <c r="X152" s="30">
        <v>2024</v>
      </c>
      <c r="Y152" s="140">
        <f t="shared" si="39"/>
        <v>0</v>
      </c>
      <c r="Z152" s="141">
        <f t="shared" si="40"/>
        <v>0</v>
      </c>
      <c r="AA152" s="140">
        <f t="shared" si="41"/>
        <v>0</v>
      </c>
      <c r="AB152" s="140">
        <f t="shared" si="42"/>
        <v>0</v>
      </c>
    </row>
    <row r="153" spans="1:28" ht="51">
      <c r="A153" s="21" t="s">
        <v>19</v>
      </c>
      <c r="B153" s="22">
        <v>1</v>
      </c>
      <c r="C153" s="22">
        <v>1</v>
      </c>
      <c r="D153" s="22">
        <v>4</v>
      </c>
      <c r="E153" s="22">
        <v>0</v>
      </c>
      <c r="F153" s="22">
        <v>0</v>
      </c>
      <c r="G153" s="43"/>
      <c r="H153" s="44" t="s">
        <v>140</v>
      </c>
      <c r="I153" s="43" t="s">
        <v>57</v>
      </c>
      <c r="J153" s="93">
        <v>98</v>
      </c>
      <c r="K153" s="93">
        <v>105</v>
      </c>
      <c r="L153" s="93">
        <v>106</v>
      </c>
      <c r="M153" s="190">
        <v>98</v>
      </c>
      <c r="N153" s="190">
        <v>109</v>
      </c>
      <c r="O153" s="190">
        <v>118</v>
      </c>
      <c r="P153" s="227">
        <f>118-10</f>
        <v>108</v>
      </c>
      <c r="Q153" s="190">
        <v>118</v>
      </c>
      <c r="R153" s="191">
        <v>118</v>
      </c>
      <c r="S153" s="191">
        <v>118</v>
      </c>
      <c r="T153" s="191">
        <v>118</v>
      </c>
      <c r="U153" s="191">
        <v>118</v>
      </c>
      <c r="V153" s="191">
        <v>118</v>
      </c>
      <c r="W153" s="190">
        <v>111</v>
      </c>
      <c r="X153" s="30">
        <v>2024</v>
      </c>
      <c r="Y153" s="140">
        <f t="shared" si="39"/>
        <v>-10</v>
      </c>
      <c r="Z153" s="141">
        <f t="shared" si="40"/>
        <v>0</v>
      </c>
      <c r="AA153" s="140">
        <f t="shared" si="41"/>
        <v>0</v>
      </c>
      <c r="AB153" s="140">
        <f t="shared" si="42"/>
        <v>0</v>
      </c>
    </row>
    <row r="154" spans="1:28" ht="51">
      <c r="A154" s="21" t="s">
        <v>19</v>
      </c>
      <c r="B154" s="22">
        <v>1</v>
      </c>
      <c r="C154" s="22">
        <v>1</v>
      </c>
      <c r="D154" s="22">
        <v>4</v>
      </c>
      <c r="E154" s="22">
        <v>0</v>
      </c>
      <c r="F154" s="22">
        <v>0</v>
      </c>
      <c r="G154" s="43"/>
      <c r="H154" s="44" t="s">
        <v>141</v>
      </c>
      <c r="I154" s="43" t="s">
        <v>28</v>
      </c>
      <c r="J154" s="131">
        <v>0</v>
      </c>
      <c r="K154" s="131">
        <v>0</v>
      </c>
      <c r="L154" s="131">
        <v>0</v>
      </c>
      <c r="M154" s="217">
        <v>1.5</v>
      </c>
      <c r="N154" s="217">
        <v>2.1</v>
      </c>
      <c r="O154" s="217">
        <v>1.6</v>
      </c>
      <c r="P154" s="224">
        <v>1.6</v>
      </c>
      <c r="Q154" s="217">
        <v>1.6</v>
      </c>
      <c r="R154" s="224">
        <v>1.6</v>
      </c>
      <c r="S154" s="224">
        <v>1.6</v>
      </c>
      <c r="T154" s="224">
        <v>1.6</v>
      </c>
      <c r="U154" s="224">
        <v>1.7</v>
      </c>
      <c r="V154" s="224">
        <v>1.7</v>
      </c>
      <c r="W154" s="217">
        <v>1.7</v>
      </c>
      <c r="X154" s="30">
        <v>2024</v>
      </c>
      <c r="Y154" s="140">
        <f t="shared" si="39"/>
        <v>0</v>
      </c>
      <c r="Z154" s="141">
        <f t="shared" si="40"/>
        <v>0</v>
      </c>
      <c r="AA154" s="140">
        <f t="shared" si="41"/>
        <v>0</v>
      </c>
      <c r="AB154" s="140">
        <f t="shared" si="42"/>
        <v>0</v>
      </c>
    </row>
    <row r="155" spans="1:28" ht="63.75">
      <c r="A155" s="21" t="s">
        <v>19</v>
      </c>
      <c r="B155" s="22">
        <v>1</v>
      </c>
      <c r="C155" s="22">
        <v>1</v>
      </c>
      <c r="D155" s="22">
        <v>4</v>
      </c>
      <c r="E155" s="22">
        <v>0</v>
      </c>
      <c r="F155" s="22">
        <v>0</v>
      </c>
      <c r="G155" s="43"/>
      <c r="H155" s="44" t="s">
        <v>142</v>
      </c>
      <c r="I155" s="43" t="s">
        <v>57</v>
      </c>
      <c r="J155" s="131">
        <v>0</v>
      </c>
      <c r="K155" s="131">
        <v>0</v>
      </c>
      <c r="L155" s="131">
        <v>0</v>
      </c>
      <c r="M155" s="190">
        <v>2</v>
      </c>
      <c r="N155" s="190">
        <v>7</v>
      </c>
      <c r="O155" s="190">
        <v>8</v>
      </c>
      <c r="P155" s="191">
        <v>8</v>
      </c>
      <c r="Q155" s="190">
        <v>8</v>
      </c>
      <c r="R155" s="191">
        <v>8</v>
      </c>
      <c r="S155" s="191">
        <v>8</v>
      </c>
      <c r="T155" s="191">
        <v>8</v>
      </c>
      <c r="U155" s="191">
        <v>8</v>
      </c>
      <c r="V155" s="191">
        <v>8</v>
      </c>
      <c r="W155" s="190">
        <v>55</v>
      </c>
      <c r="X155" s="30">
        <v>2024</v>
      </c>
      <c r="Y155" s="140">
        <f t="shared" si="39"/>
        <v>0</v>
      </c>
      <c r="Z155" s="141">
        <f t="shared" si="40"/>
        <v>0</v>
      </c>
      <c r="AA155" s="140">
        <f t="shared" si="41"/>
        <v>0</v>
      </c>
      <c r="AB155" s="140">
        <f t="shared" si="42"/>
        <v>0</v>
      </c>
    </row>
    <row r="156" spans="1:28" ht="51">
      <c r="A156" s="36" t="s">
        <v>19</v>
      </c>
      <c r="B156" s="37">
        <v>1</v>
      </c>
      <c r="C156" s="37">
        <v>1</v>
      </c>
      <c r="D156" s="37">
        <v>4</v>
      </c>
      <c r="E156" s="37">
        <v>0</v>
      </c>
      <c r="F156" s="37">
        <v>1</v>
      </c>
      <c r="G156" s="38"/>
      <c r="H156" s="39" t="s">
        <v>143</v>
      </c>
      <c r="I156" s="38" t="s">
        <v>43</v>
      </c>
      <c r="J156" s="87" t="s">
        <v>44</v>
      </c>
      <c r="K156" s="87" t="s">
        <v>44</v>
      </c>
      <c r="L156" s="87" t="s">
        <v>44</v>
      </c>
      <c r="M156" s="125" t="s">
        <v>44</v>
      </c>
      <c r="N156" s="125" t="s">
        <v>44</v>
      </c>
      <c r="O156" s="125" t="s">
        <v>44</v>
      </c>
      <c r="P156" s="228" t="s">
        <v>44</v>
      </c>
      <c r="Q156" s="228" t="s">
        <v>44</v>
      </c>
      <c r="R156" s="228" t="s">
        <v>44</v>
      </c>
      <c r="S156" s="228" t="s">
        <v>44</v>
      </c>
      <c r="T156" s="228" t="s">
        <v>44</v>
      </c>
      <c r="U156" s="228" t="s">
        <v>44</v>
      </c>
      <c r="V156" s="228" t="s">
        <v>44</v>
      </c>
      <c r="W156" s="125" t="s">
        <v>44</v>
      </c>
      <c r="X156" s="38">
        <v>2024</v>
      </c>
      <c r="Y156" s="140"/>
      <c r="Z156" s="141"/>
      <c r="AA156" s="140"/>
      <c r="AB156" s="140"/>
    </row>
    <row r="157" spans="1:28" ht="38.25">
      <c r="A157" s="21" t="s">
        <v>19</v>
      </c>
      <c r="B157" s="22">
        <v>1</v>
      </c>
      <c r="C157" s="22">
        <v>1</v>
      </c>
      <c r="D157" s="22">
        <v>4</v>
      </c>
      <c r="E157" s="22">
        <v>0</v>
      </c>
      <c r="F157" s="22">
        <v>1</v>
      </c>
      <c r="G157" s="43"/>
      <c r="H157" s="44" t="s">
        <v>144</v>
      </c>
      <c r="I157" s="43" t="s">
        <v>28</v>
      </c>
      <c r="J157" s="70">
        <v>100</v>
      </c>
      <c r="K157" s="70">
        <v>100</v>
      </c>
      <c r="L157" s="70">
        <v>100</v>
      </c>
      <c r="M157" s="71">
        <v>100</v>
      </c>
      <c r="N157" s="72">
        <v>100</v>
      </c>
      <c r="O157" s="72">
        <v>100</v>
      </c>
      <c r="P157" s="73">
        <v>100</v>
      </c>
      <c r="Q157" s="119">
        <v>100</v>
      </c>
      <c r="R157" s="119">
        <v>100</v>
      </c>
      <c r="S157" s="119">
        <v>100</v>
      </c>
      <c r="T157" s="119">
        <v>100</v>
      </c>
      <c r="U157" s="119">
        <v>100</v>
      </c>
      <c r="V157" s="119">
        <v>100</v>
      </c>
      <c r="W157" s="70">
        <v>100</v>
      </c>
      <c r="X157" s="30">
        <v>2024</v>
      </c>
      <c r="Y157" s="140">
        <f aca="true" t="shared" si="43" ref="Y157:Y178">P157-O157</f>
        <v>0</v>
      </c>
      <c r="Z157" s="141">
        <f aca="true" t="shared" si="44" ref="Z157:Z178">R157-Q157</f>
        <v>0</v>
      </c>
      <c r="AA157" s="140">
        <f aca="true" t="shared" si="45" ref="AA157:AA178">T157-S157</f>
        <v>0</v>
      </c>
      <c r="AB157" s="140">
        <f aca="true" t="shared" si="46" ref="AB157:AB178">V157-U157</f>
        <v>0</v>
      </c>
    </row>
    <row r="158" spans="1:28" s="2" customFormat="1" ht="38.25">
      <c r="A158" s="36" t="s">
        <v>19</v>
      </c>
      <c r="B158" s="37">
        <v>1</v>
      </c>
      <c r="C158" s="37">
        <v>1</v>
      </c>
      <c r="D158" s="37">
        <v>4</v>
      </c>
      <c r="E158" s="37">
        <v>0</v>
      </c>
      <c r="F158" s="37">
        <v>2</v>
      </c>
      <c r="G158" s="37"/>
      <c r="H158" s="213" t="s">
        <v>145</v>
      </c>
      <c r="I158" s="37" t="s">
        <v>21</v>
      </c>
      <c r="J158" s="88">
        <f aca="true" t="shared" si="47" ref="J158:V158">J159</f>
        <v>2271</v>
      </c>
      <c r="K158" s="88">
        <f t="shared" si="47"/>
        <v>2345.5</v>
      </c>
      <c r="L158" s="88">
        <f t="shared" si="47"/>
        <v>2249.1</v>
      </c>
      <c r="M158" s="89">
        <f t="shared" si="47"/>
        <v>3284.8</v>
      </c>
      <c r="N158" s="89">
        <v>3630.2</v>
      </c>
      <c r="O158" s="89">
        <v>3902.1</v>
      </c>
      <c r="P158" s="90">
        <f>P159+P160</f>
        <v>3753.6</v>
      </c>
      <c r="Q158" s="89">
        <v>3902.1</v>
      </c>
      <c r="R158" s="113">
        <f t="shared" si="47"/>
        <v>3902.1</v>
      </c>
      <c r="S158" s="113">
        <v>3902</v>
      </c>
      <c r="T158" s="113">
        <f t="shared" si="47"/>
        <v>3902</v>
      </c>
      <c r="U158" s="113">
        <v>3612.9</v>
      </c>
      <c r="V158" s="113">
        <f t="shared" si="47"/>
        <v>3612.9</v>
      </c>
      <c r="W158" s="88">
        <f>J158+K158+L158+M158+N158+P158+R158+T158+V158</f>
        <v>28951.2</v>
      </c>
      <c r="X158" s="37">
        <v>2024</v>
      </c>
      <c r="Y158" s="140">
        <f t="shared" si="43"/>
        <v>-148.5</v>
      </c>
      <c r="Z158" s="141">
        <f t="shared" si="44"/>
        <v>0</v>
      </c>
      <c r="AA158" s="140">
        <f t="shared" si="45"/>
        <v>0</v>
      </c>
      <c r="AB158" s="140">
        <f t="shared" si="46"/>
        <v>0</v>
      </c>
    </row>
    <row r="159" spans="1:28" s="2" customFormat="1" ht="12.75">
      <c r="A159" s="21" t="s">
        <v>19</v>
      </c>
      <c r="B159" s="22">
        <v>1</v>
      </c>
      <c r="C159" s="22">
        <v>1</v>
      </c>
      <c r="D159" s="22">
        <v>4</v>
      </c>
      <c r="E159" s="22">
        <v>0</v>
      </c>
      <c r="F159" s="22">
        <v>2</v>
      </c>
      <c r="G159" s="22">
        <v>3</v>
      </c>
      <c r="H159" s="26" t="s">
        <v>22</v>
      </c>
      <c r="I159" s="22" t="s">
        <v>21</v>
      </c>
      <c r="J159" s="64">
        <f>2271</f>
        <v>2271</v>
      </c>
      <c r="K159" s="64">
        <v>2345.5</v>
      </c>
      <c r="L159" s="64">
        <v>2249.1</v>
      </c>
      <c r="M159" s="65">
        <v>3284.8</v>
      </c>
      <c r="N159" s="138">
        <v>3030.2</v>
      </c>
      <c r="O159" s="138">
        <v>3902.1</v>
      </c>
      <c r="P159" s="229">
        <v>3753.6</v>
      </c>
      <c r="Q159" s="138">
        <v>3902.1</v>
      </c>
      <c r="R159" s="237">
        <v>3902.1</v>
      </c>
      <c r="S159" s="237">
        <v>3902</v>
      </c>
      <c r="T159" s="237">
        <v>3902</v>
      </c>
      <c r="U159" s="237">
        <v>3612.9</v>
      </c>
      <c r="V159" s="237">
        <v>3612.9</v>
      </c>
      <c r="W159" s="64">
        <f>J159+K159+L159+M159+N159+P159+R159+T159+V159</f>
        <v>28351.2</v>
      </c>
      <c r="X159" s="28">
        <v>2024</v>
      </c>
      <c r="Y159" s="140">
        <f t="shared" si="43"/>
        <v>-148.5</v>
      </c>
      <c r="Z159" s="141">
        <f t="shared" si="44"/>
        <v>0</v>
      </c>
      <c r="AA159" s="140">
        <f t="shared" si="45"/>
        <v>0</v>
      </c>
      <c r="AB159" s="140">
        <f t="shared" si="46"/>
        <v>0</v>
      </c>
    </row>
    <row r="160" spans="1:28" s="2" customFormat="1" ht="12.75">
      <c r="A160" s="21" t="s">
        <v>19</v>
      </c>
      <c r="B160" s="22">
        <v>1</v>
      </c>
      <c r="C160" s="22">
        <v>1</v>
      </c>
      <c r="D160" s="22">
        <v>4</v>
      </c>
      <c r="E160" s="22">
        <v>0</v>
      </c>
      <c r="F160" s="22">
        <v>2</v>
      </c>
      <c r="G160" s="22">
        <v>2</v>
      </c>
      <c r="H160" s="26" t="s">
        <v>138</v>
      </c>
      <c r="I160" s="22" t="s">
        <v>21</v>
      </c>
      <c r="J160" s="64">
        <v>0</v>
      </c>
      <c r="K160" s="64">
        <v>0</v>
      </c>
      <c r="L160" s="64">
        <v>0</v>
      </c>
      <c r="M160" s="65">
        <v>0</v>
      </c>
      <c r="N160" s="138">
        <v>600</v>
      </c>
      <c r="O160" s="138">
        <v>0</v>
      </c>
      <c r="P160" s="230">
        <v>0</v>
      </c>
      <c r="Q160" s="138">
        <v>0</v>
      </c>
      <c r="R160" s="237">
        <v>0</v>
      </c>
      <c r="S160" s="237">
        <v>0</v>
      </c>
      <c r="T160" s="237">
        <v>0</v>
      </c>
      <c r="U160" s="237">
        <v>0</v>
      </c>
      <c r="V160" s="237">
        <v>0</v>
      </c>
      <c r="W160" s="64">
        <v>600</v>
      </c>
      <c r="X160" s="200">
        <v>2020</v>
      </c>
      <c r="Y160" s="140">
        <f t="shared" si="43"/>
        <v>0</v>
      </c>
      <c r="Z160" s="141">
        <f t="shared" si="44"/>
        <v>0</v>
      </c>
      <c r="AA160" s="140">
        <f t="shared" si="45"/>
        <v>0</v>
      </c>
      <c r="AB160" s="140">
        <f t="shared" si="46"/>
        <v>0</v>
      </c>
    </row>
    <row r="161" spans="1:28" ht="38.25">
      <c r="A161" s="21" t="s">
        <v>19</v>
      </c>
      <c r="B161" s="22">
        <v>1</v>
      </c>
      <c r="C161" s="22">
        <v>1</v>
      </c>
      <c r="D161" s="22">
        <v>4</v>
      </c>
      <c r="E161" s="22">
        <v>0</v>
      </c>
      <c r="F161" s="22">
        <v>2</v>
      </c>
      <c r="G161" s="43"/>
      <c r="H161" s="46" t="s">
        <v>146</v>
      </c>
      <c r="I161" s="43" t="s">
        <v>57</v>
      </c>
      <c r="J161" s="93">
        <v>60</v>
      </c>
      <c r="K161" s="93">
        <f>65</f>
        <v>65</v>
      </c>
      <c r="L161" s="93">
        <v>56</v>
      </c>
      <c r="M161" s="190">
        <v>58</v>
      </c>
      <c r="N161" s="190">
        <v>51</v>
      </c>
      <c r="O161" s="190">
        <v>68</v>
      </c>
      <c r="P161" s="223">
        <f>68-10</f>
        <v>58</v>
      </c>
      <c r="Q161" s="190">
        <v>68</v>
      </c>
      <c r="R161" s="191">
        <v>68</v>
      </c>
      <c r="S161" s="191">
        <v>68</v>
      </c>
      <c r="T161" s="191">
        <v>68</v>
      </c>
      <c r="U161" s="191">
        <v>70</v>
      </c>
      <c r="V161" s="191">
        <v>70</v>
      </c>
      <c r="W161" s="93">
        <f>J161+K161+L161+M161+N161+P161+R161+T161+V161</f>
        <v>554</v>
      </c>
      <c r="X161" s="30">
        <v>2024</v>
      </c>
      <c r="Y161" s="140">
        <f t="shared" si="43"/>
        <v>-10</v>
      </c>
      <c r="Z161" s="141">
        <f t="shared" si="44"/>
        <v>0</v>
      </c>
      <c r="AA161" s="140">
        <f t="shared" si="45"/>
        <v>0</v>
      </c>
      <c r="AB161" s="140">
        <f t="shared" si="46"/>
        <v>0</v>
      </c>
    </row>
    <row r="162" spans="1:28" ht="38.25">
      <c r="A162" s="21" t="s">
        <v>19</v>
      </c>
      <c r="B162" s="22">
        <v>1</v>
      </c>
      <c r="C162" s="22">
        <v>1</v>
      </c>
      <c r="D162" s="22">
        <v>4</v>
      </c>
      <c r="E162" s="22">
        <v>0</v>
      </c>
      <c r="F162" s="22">
        <v>2</v>
      </c>
      <c r="G162" s="43"/>
      <c r="H162" s="46" t="s">
        <v>147</v>
      </c>
      <c r="I162" s="43" t="s">
        <v>28</v>
      </c>
      <c r="J162" s="70">
        <v>9</v>
      </c>
      <c r="K162" s="70">
        <f>4/(28+7)*100</f>
        <v>11.4</v>
      </c>
      <c r="L162" s="70">
        <v>9</v>
      </c>
      <c r="M162" s="217">
        <v>8.6</v>
      </c>
      <c r="N162" s="217">
        <v>11.4</v>
      </c>
      <c r="O162" s="217">
        <v>14</v>
      </c>
      <c r="P162" s="224">
        <v>14</v>
      </c>
      <c r="Q162" s="217">
        <v>14</v>
      </c>
      <c r="R162" s="224">
        <v>14</v>
      </c>
      <c r="S162" s="224">
        <v>14</v>
      </c>
      <c r="T162" s="224">
        <v>14</v>
      </c>
      <c r="U162" s="224">
        <v>14</v>
      </c>
      <c r="V162" s="224">
        <v>14</v>
      </c>
      <c r="W162" s="70">
        <v>14</v>
      </c>
      <c r="X162" s="30">
        <v>2024</v>
      </c>
      <c r="Y162" s="140">
        <f t="shared" si="43"/>
        <v>0</v>
      </c>
      <c r="Z162" s="141">
        <f t="shared" si="44"/>
        <v>0</v>
      </c>
      <c r="AA162" s="140">
        <f t="shared" si="45"/>
        <v>0</v>
      </c>
      <c r="AB162" s="140">
        <f t="shared" si="46"/>
        <v>0</v>
      </c>
    </row>
    <row r="163" spans="1:28" ht="38.25">
      <c r="A163" s="21" t="s">
        <v>19</v>
      </c>
      <c r="B163" s="22">
        <v>1</v>
      </c>
      <c r="C163" s="22">
        <v>1</v>
      </c>
      <c r="D163" s="22">
        <v>4</v>
      </c>
      <c r="E163" s="22">
        <v>0</v>
      </c>
      <c r="F163" s="22">
        <v>2</v>
      </c>
      <c r="G163" s="43"/>
      <c r="H163" s="46" t="s">
        <v>148</v>
      </c>
      <c r="I163" s="43" t="s">
        <v>57</v>
      </c>
      <c r="J163" s="93">
        <v>29</v>
      </c>
      <c r="K163" s="93">
        <v>29</v>
      </c>
      <c r="L163" s="93">
        <v>50</v>
      </c>
      <c r="M163" s="190">
        <v>41</v>
      </c>
      <c r="N163" s="190">
        <v>49</v>
      </c>
      <c r="O163" s="190">
        <v>53</v>
      </c>
      <c r="P163" s="191">
        <v>53</v>
      </c>
      <c r="Q163" s="190">
        <v>53</v>
      </c>
      <c r="R163" s="191">
        <v>53</v>
      </c>
      <c r="S163" s="191">
        <v>53</v>
      </c>
      <c r="T163" s="191">
        <v>53</v>
      </c>
      <c r="U163" s="191">
        <v>51</v>
      </c>
      <c r="V163" s="191">
        <v>51</v>
      </c>
      <c r="W163" s="93">
        <f>(J163+K163+L163+M163+N163+P163+R163+T163+V163)/9</f>
        <v>45</v>
      </c>
      <c r="X163" s="30">
        <v>2024</v>
      </c>
      <c r="Y163" s="140">
        <f t="shared" si="43"/>
        <v>0</v>
      </c>
      <c r="Z163" s="141">
        <f t="shared" si="44"/>
        <v>0</v>
      </c>
      <c r="AA163" s="140">
        <f t="shared" si="45"/>
        <v>0</v>
      </c>
      <c r="AB163" s="140">
        <f t="shared" si="46"/>
        <v>0</v>
      </c>
    </row>
    <row r="164" spans="1:28" ht="38.25">
      <c r="A164" s="21" t="s">
        <v>19</v>
      </c>
      <c r="B164" s="22">
        <v>1</v>
      </c>
      <c r="C164" s="22">
        <v>1</v>
      </c>
      <c r="D164" s="22">
        <v>4</v>
      </c>
      <c r="E164" s="22">
        <v>0</v>
      </c>
      <c r="F164" s="22">
        <v>2</v>
      </c>
      <c r="G164" s="43"/>
      <c r="H164" s="46" t="s">
        <v>149</v>
      </c>
      <c r="I164" s="43" t="s">
        <v>57</v>
      </c>
      <c r="J164" s="93">
        <v>11</v>
      </c>
      <c r="K164" s="93">
        <v>11</v>
      </c>
      <c r="L164" s="93">
        <v>12</v>
      </c>
      <c r="M164" s="190">
        <v>12</v>
      </c>
      <c r="N164" s="190">
        <v>12</v>
      </c>
      <c r="O164" s="190">
        <v>12</v>
      </c>
      <c r="P164" s="191">
        <v>12</v>
      </c>
      <c r="Q164" s="190">
        <v>12</v>
      </c>
      <c r="R164" s="191">
        <v>12</v>
      </c>
      <c r="S164" s="191">
        <v>12</v>
      </c>
      <c r="T164" s="191">
        <v>12</v>
      </c>
      <c r="U164" s="191">
        <v>12</v>
      </c>
      <c r="V164" s="191">
        <v>12</v>
      </c>
      <c r="W164" s="93">
        <v>12</v>
      </c>
      <c r="X164" s="30">
        <v>2024</v>
      </c>
      <c r="Y164" s="140">
        <f t="shared" si="43"/>
        <v>0</v>
      </c>
      <c r="Z164" s="141">
        <f t="shared" si="44"/>
        <v>0</v>
      </c>
      <c r="AA164" s="140">
        <f t="shared" si="45"/>
        <v>0</v>
      </c>
      <c r="AB164" s="140">
        <f t="shared" si="46"/>
        <v>0</v>
      </c>
    </row>
    <row r="165" spans="1:28" ht="38.25">
      <c r="A165" s="21" t="s">
        <v>19</v>
      </c>
      <c r="B165" s="22">
        <v>1</v>
      </c>
      <c r="C165" s="22">
        <v>1</v>
      </c>
      <c r="D165" s="22">
        <v>4</v>
      </c>
      <c r="E165" s="22">
        <v>0</v>
      </c>
      <c r="F165" s="22">
        <v>2</v>
      </c>
      <c r="G165" s="43"/>
      <c r="H165" s="46" t="s">
        <v>150</v>
      </c>
      <c r="I165" s="43" t="s">
        <v>48</v>
      </c>
      <c r="J165" s="93">
        <v>75</v>
      </c>
      <c r="K165" s="93">
        <f>115+29</f>
        <v>144</v>
      </c>
      <c r="L165" s="93">
        <v>184</v>
      </c>
      <c r="M165" s="190">
        <v>309</v>
      </c>
      <c r="N165" s="190">
        <v>448</v>
      </c>
      <c r="O165" s="190">
        <v>336</v>
      </c>
      <c r="P165" s="191">
        <v>336</v>
      </c>
      <c r="Q165" s="190">
        <v>356</v>
      </c>
      <c r="R165" s="191">
        <v>356</v>
      </c>
      <c r="S165" s="191">
        <v>356</v>
      </c>
      <c r="T165" s="191">
        <v>356</v>
      </c>
      <c r="U165" s="191">
        <v>371</v>
      </c>
      <c r="V165" s="191">
        <v>371</v>
      </c>
      <c r="W165" s="93">
        <f>J165+K165+L165+M165+N165+P165+R165+T165+V165</f>
        <v>2579</v>
      </c>
      <c r="X165" s="30">
        <v>2024</v>
      </c>
      <c r="Y165" s="140">
        <f t="shared" si="43"/>
        <v>0</v>
      </c>
      <c r="Z165" s="141">
        <f t="shared" si="44"/>
        <v>0</v>
      </c>
      <c r="AA165" s="140">
        <f t="shared" si="45"/>
        <v>0</v>
      </c>
      <c r="AB165" s="140">
        <f t="shared" si="46"/>
        <v>0</v>
      </c>
    </row>
    <row r="166" spans="1:28" s="2" customFormat="1" ht="38.25">
      <c r="A166" s="36" t="s">
        <v>19</v>
      </c>
      <c r="B166" s="37">
        <v>1</v>
      </c>
      <c r="C166" s="37">
        <v>1</v>
      </c>
      <c r="D166" s="37">
        <v>4</v>
      </c>
      <c r="E166" s="37">
        <v>0</v>
      </c>
      <c r="F166" s="37">
        <v>3</v>
      </c>
      <c r="G166" s="37"/>
      <c r="H166" s="40" t="s">
        <v>151</v>
      </c>
      <c r="I166" s="37" t="s">
        <v>21</v>
      </c>
      <c r="J166" s="88">
        <f>J167</f>
        <v>400</v>
      </c>
      <c r="K166" s="88">
        <f>K167</f>
        <v>400</v>
      </c>
      <c r="L166" s="88">
        <f>L167</f>
        <v>200</v>
      </c>
      <c r="M166" s="89">
        <f>M167</f>
        <v>200</v>
      </c>
      <c r="N166" s="89">
        <v>200</v>
      </c>
      <c r="O166" s="89">
        <v>200</v>
      </c>
      <c r="P166" s="113">
        <v>200</v>
      </c>
      <c r="Q166" s="113">
        <v>200</v>
      </c>
      <c r="R166" s="113">
        <v>200</v>
      </c>
      <c r="S166" s="113">
        <v>200</v>
      </c>
      <c r="T166" s="113">
        <f>T167</f>
        <v>200</v>
      </c>
      <c r="U166" s="113">
        <v>200</v>
      </c>
      <c r="V166" s="113">
        <f>V167</f>
        <v>200</v>
      </c>
      <c r="W166" s="88">
        <f>J166+K166+L166+M166+N166+P166+R166+T166+V166</f>
        <v>2200</v>
      </c>
      <c r="X166" s="37">
        <v>2024</v>
      </c>
      <c r="Y166" s="140">
        <f t="shared" si="43"/>
        <v>0</v>
      </c>
      <c r="Z166" s="141">
        <f t="shared" si="44"/>
        <v>0</v>
      </c>
      <c r="AA166" s="140">
        <f t="shared" si="45"/>
        <v>0</v>
      </c>
      <c r="AB166" s="140">
        <f t="shared" si="46"/>
        <v>0</v>
      </c>
    </row>
    <row r="167" spans="1:28" s="2" customFormat="1" ht="12.75">
      <c r="A167" s="21" t="s">
        <v>19</v>
      </c>
      <c r="B167" s="22">
        <v>1</v>
      </c>
      <c r="C167" s="22">
        <v>1</v>
      </c>
      <c r="D167" s="22">
        <v>4</v>
      </c>
      <c r="E167" s="22">
        <v>0</v>
      </c>
      <c r="F167" s="22">
        <v>3</v>
      </c>
      <c r="G167" s="22">
        <v>3</v>
      </c>
      <c r="H167" s="26" t="s">
        <v>22</v>
      </c>
      <c r="I167" s="22" t="s">
        <v>21</v>
      </c>
      <c r="J167" s="64">
        <v>400</v>
      </c>
      <c r="K167" s="64">
        <v>400</v>
      </c>
      <c r="L167" s="64">
        <v>200</v>
      </c>
      <c r="M167" s="65">
        <v>200</v>
      </c>
      <c r="N167" s="91">
        <v>200</v>
      </c>
      <c r="O167" s="91">
        <v>200</v>
      </c>
      <c r="P167" s="114">
        <v>200</v>
      </c>
      <c r="Q167" s="132">
        <v>200</v>
      </c>
      <c r="R167" s="132">
        <v>200</v>
      </c>
      <c r="S167" s="132">
        <v>200</v>
      </c>
      <c r="T167" s="132">
        <v>200</v>
      </c>
      <c r="U167" s="132">
        <v>200</v>
      </c>
      <c r="V167" s="132">
        <v>200</v>
      </c>
      <c r="W167" s="64">
        <f>J167+K167+L167+M167+N167+P167+R167+T167+V167</f>
        <v>2200</v>
      </c>
      <c r="X167" s="28">
        <v>2024</v>
      </c>
      <c r="Y167" s="140">
        <f t="shared" si="43"/>
        <v>0</v>
      </c>
      <c r="Z167" s="141">
        <f t="shared" si="44"/>
        <v>0</v>
      </c>
      <c r="AA167" s="140">
        <f t="shared" si="45"/>
        <v>0</v>
      </c>
      <c r="AB167" s="140">
        <f t="shared" si="46"/>
        <v>0</v>
      </c>
    </row>
    <row r="168" spans="1:28" ht="51">
      <c r="A168" s="21" t="s">
        <v>19</v>
      </c>
      <c r="B168" s="22">
        <v>1</v>
      </c>
      <c r="C168" s="22">
        <v>1</v>
      </c>
      <c r="D168" s="22">
        <v>4</v>
      </c>
      <c r="E168" s="22">
        <v>0</v>
      </c>
      <c r="F168" s="22">
        <v>3</v>
      </c>
      <c r="G168" s="43"/>
      <c r="H168" s="44" t="s">
        <v>152</v>
      </c>
      <c r="I168" s="43" t="s">
        <v>57</v>
      </c>
      <c r="J168" s="93">
        <v>2</v>
      </c>
      <c r="K168" s="93">
        <v>4</v>
      </c>
      <c r="L168" s="93">
        <v>3</v>
      </c>
      <c r="M168" s="94">
        <v>3</v>
      </c>
      <c r="N168" s="95">
        <v>4</v>
      </c>
      <c r="O168" s="95">
        <v>2</v>
      </c>
      <c r="P168" s="111">
        <v>4</v>
      </c>
      <c r="Q168" s="127">
        <v>2</v>
      </c>
      <c r="R168" s="127">
        <v>2</v>
      </c>
      <c r="S168" s="127">
        <v>2</v>
      </c>
      <c r="T168" s="127">
        <v>2</v>
      </c>
      <c r="U168" s="127">
        <v>2</v>
      </c>
      <c r="V168" s="127">
        <v>2</v>
      </c>
      <c r="W168" s="93">
        <f>J168+K168+L168+M168+N168+P168+R168+T168+V168</f>
        <v>26</v>
      </c>
      <c r="X168" s="30">
        <v>2024</v>
      </c>
      <c r="Y168" s="140">
        <f t="shared" si="43"/>
        <v>2</v>
      </c>
      <c r="Z168" s="141">
        <f t="shared" si="44"/>
        <v>0</v>
      </c>
      <c r="AA168" s="140">
        <f t="shared" si="45"/>
        <v>0</v>
      </c>
      <c r="AB168" s="140">
        <f t="shared" si="46"/>
        <v>0</v>
      </c>
    </row>
    <row r="169" spans="1:28" s="2" customFormat="1" ht="51">
      <c r="A169" s="36" t="s">
        <v>19</v>
      </c>
      <c r="B169" s="37">
        <v>1</v>
      </c>
      <c r="C169" s="37">
        <v>1</v>
      </c>
      <c r="D169" s="37">
        <v>4</v>
      </c>
      <c r="E169" s="37">
        <v>0</v>
      </c>
      <c r="F169" s="37">
        <v>4</v>
      </c>
      <c r="G169" s="37"/>
      <c r="H169" s="40" t="s">
        <v>153</v>
      </c>
      <c r="I169" s="37" t="s">
        <v>21</v>
      </c>
      <c r="J169" s="88">
        <f aca="true" t="shared" si="48" ref="J169:V169">J170</f>
        <v>0</v>
      </c>
      <c r="K169" s="88">
        <f t="shared" si="48"/>
        <v>0</v>
      </c>
      <c r="L169" s="88">
        <f t="shared" si="48"/>
        <v>0</v>
      </c>
      <c r="M169" s="88">
        <f t="shared" si="48"/>
        <v>19</v>
      </c>
      <c r="N169" s="88">
        <v>1048</v>
      </c>
      <c r="O169" s="88">
        <v>978.7</v>
      </c>
      <c r="P169" s="109">
        <f>P170+P171</f>
        <v>1299.8</v>
      </c>
      <c r="Q169" s="88">
        <v>978.7</v>
      </c>
      <c r="R169" s="88">
        <f t="shared" si="48"/>
        <v>978.7</v>
      </c>
      <c r="S169" s="88">
        <v>978.7</v>
      </c>
      <c r="T169" s="88">
        <f t="shared" si="48"/>
        <v>978.7</v>
      </c>
      <c r="U169" s="88">
        <v>943.8</v>
      </c>
      <c r="V169" s="88">
        <f t="shared" si="48"/>
        <v>943.8</v>
      </c>
      <c r="W169" s="88">
        <f>J169+K169+L169+M169+N169+P169+R169+T169+V169</f>
        <v>5268</v>
      </c>
      <c r="X169" s="37">
        <v>2024</v>
      </c>
      <c r="Y169" s="140">
        <f t="shared" si="43"/>
        <v>321.1</v>
      </c>
      <c r="Z169" s="141">
        <f t="shared" si="44"/>
        <v>0</v>
      </c>
      <c r="AA169" s="140">
        <f t="shared" si="45"/>
        <v>0</v>
      </c>
      <c r="AB169" s="140">
        <f t="shared" si="46"/>
        <v>0</v>
      </c>
    </row>
    <row r="170" spans="1:28" s="2" customFormat="1" ht="12.75">
      <c r="A170" s="21" t="s">
        <v>19</v>
      </c>
      <c r="B170" s="22">
        <v>1</v>
      </c>
      <c r="C170" s="22">
        <v>1</v>
      </c>
      <c r="D170" s="22">
        <v>4</v>
      </c>
      <c r="E170" s="22">
        <v>0</v>
      </c>
      <c r="F170" s="22">
        <v>4</v>
      </c>
      <c r="G170" s="22">
        <v>3</v>
      </c>
      <c r="H170" s="26" t="s">
        <v>22</v>
      </c>
      <c r="I170" s="22" t="s">
        <v>21</v>
      </c>
      <c r="J170" s="64">
        <v>0</v>
      </c>
      <c r="K170" s="64">
        <v>0</v>
      </c>
      <c r="L170" s="64">
        <v>0</v>
      </c>
      <c r="M170" s="65">
        <v>19</v>
      </c>
      <c r="N170" s="91">
        <v>584.8</v>
      </c>
      <c r="O170" s="91">
        <v>978.7</v>
      </c>
      <c r="P170" s="92">
        <v>854.1</v>
      </c>
      <c r="Q170" s="91">
        <v>978.7</v>
      </c>
      <c r="R170" s="91">
        <v>978.7</v>
      </c>
      <c r="S170" s="91">
        <v>978.7</v>
      </c>
      <c r="T170" s="91">
        <v>978.7</v>
      </c>
      <c r="U170" s="65">
        <v>943.8</v>
      </c>
      <c r="V170" s="65">
        <v>943.8</v>
      </c>
      <c r="W170" s="64">
        <f aca="true" t="shared" si="49" ref="W170:W176">J170+K170+L170+M170+N170+P170+R170+T170+V170</f>
        <v>4359.1</v>
      </c>
      <c r="X170" s="28">
        <v>2024</v>
      </c>
      <c r="Y170" s="140">
        <f t="shared" si="43"/>
        <v>-124.6</v>
      </c>
      <c r="Z170" s="141">
        <f t="shared" si="44"/>
        <v>0</v>
      </c>
      <c r="AA170" s="140">
        <f t="shared" si="45"/>
        <v>0</v>
      </c>
      <c r="AB170" s="140">
        <f t="shared" si="46"/>
        <v>0</v>
      </c>
    </row>
    <row r="171" spans="1:28" s="2" customFormat="1" ht="12.75">
      <c r="A171" s="21" t="s">
        <v>19</v>
      </c>
      <c r="B171" s="22">
        <v>1</v>
      </c>
      <c r="C171" s="22">
        <v>1</v>
      </c>
      <c r="D171" s="22">
        <v>4</v>
      </c>
      <c r="E171" s="22">
        <v>0</v>
      </c>
      <c r="F171" s="22">
        <v>4</v>
      </c>
      <c r="G171" s="22">
        <v>2</v>
      </c>
      <c r="H171" s="26" t="s">
        <v>138</v>
      </c>
      <c r="I171" s="22" t="s">
        <v>21</v>
      </c>
      <c r="J171" s="64">
        <v>0</v>
      </c>
      <c r="K171" s="64">
        <v>0</v>
      </c>
      <c r="L171" s="64">
        <v>0</v>
      </c>
      <c r="M171" s="65">
        <v>0</v>
      </c>
      <c r="N171" s="91">
        <v>463.2</v>
      </c>
      <c r="O171" s="91">
        <v>0</v>
      </c>
      <c r="P171" s="92">
        <v>445.7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4">
        <f t="shared" si="49"/>
        <v>908.9</v>
      </c>
      <c r="X171" s="133">
        <v>2021</v>
      </c>
      <c r="Y171" s="140">
        <f t="shared" si="43"/>
        <v>445.7</v>
      </c>
      <c r="Z171" s="141">
        <f t="shared" si="44"/>
        <v>0</v>
      </c>
      <c r="AA171" s="140">
        <f t="shared" si="45"/>
        <v>0</v>
      </c>
      <c r="AB171" s="140">
        <f t="shared" si="46"/>
        <v>0</v>
      </c>
    </row>
    <row r="172" spans="1:28" ht="63.75">
      <c r="A172" s="21" t="s">
        <v>19</v>
      </c>
      <c r="B172" s="22">
        <v>1</v>
      </c>
      <c r="C172" s="22">
        <v>1</v>
      </c>
      <c r="D172" s="22">
        <v>4</v>
      </c>
      <c r="E172" s="22">
        <v>0</v>
      </c>
      <c r="F172" s="22">
        <v>4</v>
      </c>
      <c r="G172" s="43"/>
      <c r="H172" s="44" t="s">
        <v>154</v>
      </c>
      <c r="I172" s="43" t="s">
        <v>48</v>
      </c>
      <c r="J172" s="93">
        <v>0</v>
      </c>
      <c r="K172" s="93">
        <v>0</v>
      </c>
      <c r="L172" s="93">
        <v>0</v>
      </c>
      <c r="M172" s="94">
        <v>188</v>
      </c>
      <c r="N172" s="95">
        <v>180</v>
      </c>
      <c r="O172" s="95">
        <v>310</v>
      </c>
      <c r="P172" s="95">
        <v>310</v>
      </c>
      <c r="Q172" s="94">
        <v>310</v>
      </c>
      <c r="R172" s="94">
        <v>310</v>
      </c>
      <c r="S172" s="94">
        <v>310</v>
      </c>
      <c r="T172" s="94">
        <v>310</v>
      </c>
      <c r="U172" s="94">
        <v>310</v>
      </c>
      <c r="V172" s="94">
        <v>310</v>
      </c>
      <c r="W172" s="93">
        <f t="shared" si="49"/>
        <v>1608</v>
      </c>
      <c r="X172" s="30">
        <v>2024</v>
      </c>
      <c r="Y172" s="140">
        <f t="shared" si="43"/>
        <v>0</v>
      </c>
      <c r="Z172" s="141">
        <f t="shared" si="44"/>
        <v>0</v>
      </c>
      <c r="AA172" s="140">
        <f t="shared" si="45"/>
        <v>0</v>
      </c>
      <c r="AB172" s="140">
        <f t="shared" si="46"/>
        <v>0</v>
      </c>
    </row>
    <row r="173" spans="1:28" ht="38.25">
      <c r="A173" s="21" t="s">
        <v>19</v>
      </c>
      <c r="B173" s="22">
        <v>1</v>
      </c>
      <c r="C173" s="22">
        <v>1</v>
      </c>
      <c r="D173" s="22">
        <v>4</v>
      </c>
      <c r="E173" s="22">
        <v>0</v>
      </c>
      <c r="F173" s="22">
        <v>4</v>
      </c>
      <c r="G173" s="43"/>
      <c r="H173" s="44" t="s">
        <v>155</v>
      </c>
      <c r="I173" s="43" t="s">
        <v>57</v>
      </c>
      <c r="J173" s="93">
        <v>0</v>
      </c>
      <c r="K173" s="93">
        <v>0</v>
      </c>
      <c r="L173" s="93">
        <v>0</v>
      </c>
      <c r="M173" s="94">
        <v>0</v>
      </c>
      <c r="N173" s="95">
        <v>2804</v>
      </c>
      <c r="O173" s="95">
        <v>2400</v>
      </c>
      <c r="P173" s="95">
        <v>2400</v>
      </c>
      <c r="Q173" s="95">
        <v>2400</v>
      </c>
      <c r="R173" s="95">
        <v>2400</v>
      </c>
      <c r="S173" s="95">
        <v>2400</v>
      </c>
      <c r="T173" s="95">
        <v>2400</v>
      </c>
      <c r="U173" s="94">
        <v>2380</v>
      </c>
      <c r="V173" s="94">
        <v>2380</v>
      </c>
      <c r="W173" s="93">
        <f t="shared" si="49"/>
        <v>12384</v>
      </c>
      <c r="X173" s="30">
        <v>2024</v>
      </c>
      <c r="Y173" s="140">
        <f t="shared" si="43"/>
        <v>0</v>
      </c>
      <c r="Z173" s="141">
        <f t="shared" si="44"/>
        <v>0</v>
      </c>
      <c r="AA173" s="140">
        <f t="shared" si="45"/>
        <v>0</v>
      </c>
      <c r="AB173" s="140">
        <f t="shared" si="46"/>
        <v>0</v>
      </c>
    </row>
    <row r="174" spans="1:28" ht="63.75">
      <c r="A174" s="21" t="s">
        <v>19</v>
      </c>
      <c r="B174" s="22">
        <v>1</v>
      </c>
      <c r="C174" s="22">
        <v>1</v>
      </c>
      <c r="D174" s="22">
        <v>4</v>
      </c>
      <c r="E174" s="22">
        <v>0</v>
      </c>
      <c r="F174" s="22">
        <v>4</v>
      </c>
      <c r="G174" s="43"/>
      <c r="H174" s="44" t="s">
        <v>156</v>
      </c>
      <c r="I174" s="43" t="s">
        <v>57</v>
      </c>
      <c r="J174" s="93">
        <v>0</v>
      </c>
      <c r="K174" s="93">
        <v>0</v>
      </c>
      <c r="L174" s="93">
        <v>0</v>
      </c>
      <c r="M174" s="94">
        <v>0</v>
      </c>
      <c r="N174" s="95">
        <v>1</v>
      </c>
      <c r="O174" s="95">
        <v>0</v>
      </c>
      <c r="P174" s="111">
        <v>1</v>
      </c>
      <c r="Q174" s="94">
        <v>0</v>
      </c>
      <c r="R174" s="94">
        <v>0</v>
      </c>
      <c r="S174" s="94">
        <v>0</v>
      </c>
      <c r="T174" s="94">
        <v>0</v>
      </c>
      <c r="U174" s="94">
        <v>0</v>
      </c>
      <c r="V174" s="94">
        <v>0</v>
      </c>
      <c r="W174" s="93">
        <f t="shared" si="49"/>
        <v>2</v>
      </c>
      <c r="X174" s="194">
        <v>2021</v>
      </c>
      <c r="Y174" s="140">
        <f t="shared" si="43"/>
        <v>1</v>
      </c>
      <c r="Z174" s="141">
        <f t="shared" si="44"/>
        <v>0</v>
      </c>
      <c r="AA174" s="140">
        <f t="shared" si="45"/>
        <v>0</v>
      </c>
      <c r="AB174" s="140">
        <f t="shared" si="46"/>
        <v>0</v>
      </c>
    </row>
    <row r="175" spans="1:28" s="2" customFormat="1" ht="63.75">
      <c r="A175" s="160" t="s">
        <v>19</v>
      </c>
      <c r="B175" s="34">
        <v>1</v>
      </c>
      <c r="C175" s="34">
        <v>1</v>
      </c>
      <c r="D175" s="34">
        <v>5</v>
      </c>
      <c r="E175" s="34">
        <v>0</v>
      </c>
      <c r="F175" s="34">
        <v>0</v>
      </c>
      <c r="G175" s="34"/>
      <c r="H175" s="35" t="s">
        <v>157</v>
      </c>
      <c r="I175" s="34" t="s">
        <v>21</v>
      </c>
      <c r="J175" s="81">
        <f aca="true" t="shared" si="50" ref="J175:V175">J176</f>
        <v>588</v>
      </c>
      <c r="K175" s="81">
        <f t="shared" si="50"/>
        <v>588</v>
      </c>
      <c r="L175" s="81">
        <f t="shared" si="50"/>
        <v>488</v>
      </c>
      <c r="M175" s="81">
        <f t="shared" si="50"/>
        <v>488</v>
      </c>
      <c r="N175" s="81">
        <v>301.7</v>
      </c>
      <c r="O175" s="81">
        <v>558.1</v>
      </c>
      <c r="P175" s="81">
        <f t="shared" si="50"/>
        <v>558.1</v>
      </c>
      <c r="Q175" s="81">
        <v>558.1</v>
      </c>
      <c r="R175" s="81">
        <v>558.1</v>
      </c>
      <c r="S175" s="81">
        <v>558.1</v>
      </c>
      <c r="T175" s="81">
        <f t="shared" si="50"/>
        <v>558.1</v>
      </c>
      <c r="U175" s="81">
        <v>558.1</v>
      </c>
      <c r="V175" s="81">
        <f t="shared" si="50"/>
        <v>558.1</v>
      </c>
      <c r="W175" s="81">
        <f t="shared" si="49"/>
        <v>4686.1</v>
      </c>
      <c r="X175" s="34">
        <v>2024</v>
      </c>
      <c r="Y175" s="140">
        <f t="shared" si="43"/>
        <v>0</v>
      </c>
      <c r="Z175" s="141">
        <f t="shared" si="44"/>
        <v>0</v>
      </c>
      <c r="AA175" s="140">
        <f t="shared" si="45"/>
        <v>0</v>
      </c>
      <c r="AB175" s="140">
        <f t="shared" si="46"/>
        <v>0</v>
      </c>
    </row>
    <row r="176" spans="1:28" s="2" customFormat="1" ht="12.75">
      <c r="A176" s="21" t="s">
        <v>19</v>
      </c>
      <c r="B176" s="22">
        <v>1</v>
      </c>
      <c r="C176" s="22">
        <v>1</v>
      </c>
      <c r="D176" s="22">
        <v>5</v>
      </c>
      <c r="E176" s="22">
        <v>0</v>
      </c>
      <c r="F176" s="22">
        <v>0</v>
      </c>
      <c r="G176" s="22">
        <v>3</v>
      </c>
      <c r="H176" s="26" t="s">
        <v>22</v>
      </c>
      <c r="I176" s="22" t="s">
        <v>21</v>
      </c>
      <c r="J176" s="64">
        <f aca="true" t="shared" si="51" ref="J176:V176">J183+J188+J194</f>
        <v>588</v>
      </c>
      <c r="K176" s="64">
        <f t="shared" si="51"/>
        <v>588</v>
      </c>
      <c r="L176" s="64">
        <f t="shared" si="51"/>
        <v>488</v>
      </c>
      <c r="M176" s="65">
        <f t="shared" si="51"/>
        <v>488</v>
      </c>
      <c r="N176" s="65">
        <v>301.7</v>
      </c>
      <c r="O176" s="65">
        <v>558.1</v>
      </c>
      <c r="P176" s="65">
        <f t="shared" si="51"/>
        <v>558.1</v>
      </c>
      <c r="Q176" s="65">
        <v>558.1</v>
      </c>
      <c r="R176" s="65">
        <v>558.1</v>
      </c>
      <c r="S176" s="65">
        <v>558.1</v>
      </c>
      <c r="T176" s="65">
        <f t="shared" si="51"/>
        <v>558.1</v>
      </c>
      <c r="U176" s="65">
        <v>558.1</v>
      </c>
      <c r="V176" s="65">
        <f t="shared" si="51"/>
        <v>558.1</v>
      </c>
      <c r="W176" s="64">
        <f t="shared" si="49"/>
        <v>4686.1</v>
      </c>
      <c r="X176" s="28">
        <v>2024</v>
      </c>
      <c r="Y176" s="140">
        <f t="shared" si="43"/>
        <v>0</v>
      </c>
      <c r="Z176" s="141">
        <f t="shared" si="44"/>
        <v>0</v>
      </c>
      <c r="AA176" s="140">
        <f t="shared" si="45"/>
        <v>0</v>
      </c>
      <c r="AB176" s="140">
        <f t="shared" si="46"/>
        <v>0</v>
      </c>
    </row>
    <row r="177" spans="1:28" ht="51">
      <c r="A177" s="21" t="s">
        <v>19</v>
      </c>
      <c r="B177" s="22">
        <v>1</v>
      </c>
      <c r="C177" s="22">
        <v>1</v>
      </c>
      <c r="D177" s="22">
        <v>5</v>
      </c>
      <c r="E177" s="22">
        <v>0</v>
      </c>
      <c r="F177" s="22">
        <v>0</v>
      </c>
      <c r="G177" s="43"/>
      <c r="H177" s="44" t="s">
        <v>158</v>
      </c>
      <c r="I177" s="43" t="s">
        <v>28</v>
      </c>
      <c r="J177" s="70">
        <v>20</v>
      </c>
      <c r="K177" s="70">
        <v>20.3</v>
      </c>
      <c r="L177" s="70">
        <v>19.9</v>
      </c>
      <c r="M177" s="71">
        <v>19.9</v>
      </c>
      <c r="N177" s="72">
        <v>19.9</v>
      </c>
      <c r="O177" s="72">
        <v>20</v>
      </c>
      <c r="P177" s="72">
        <v>20</v>
      </c>
      <c r="Q177" s="72">
        <v>20</v>
      </c>
      <c r="R177" s="72">
        <v>20</v>
      </c>
      <c r="S177" s="72">
        <v>20.1</v>
      </c>
      <c r="T177" s="72">
        <v>20.1</v>
      </c>
      <c r="U177" s="72">
        <v>20.2</v>
      </c>
      <c r="V177" s="72">
        <v>20.2</v>
      </c>
      <c r="W177" s="70">
        <v>20.2</v>
      </c>
      <c r="X177" s="30">
        <v>2024</v>
      </c>
      <c r="Y177" s="140">
        <f t="shared" si="43"/>
        <v>0</v>
      </c>
      <c r="Z177" s="141">
        <f t="shared" si="44"/>
        <v>0</v>
      </c>
      <c r="AA177" s="140">
        <f t="shared" si="45"/>
        <v>0</v>
      </c>
      <c r="AB177" s="140">
        <f t="shared" si="46"/>
        <v>0</v>
      </c>
    </row>
    <row r="178" spans="1:28" ht="51">
      <c r="A178" s="21" t="s">
        <v>19</v>
      </c>
      <c r="B178" s="22">
        <v>1</v>
      </c>
      <c r="C178" s="22">
        <v>1</v>
      </c>
      <c r="D178" s="22">
        <v>5</v>
      </c>
      <c r="E178" s="22">
        <v>0</v>
      </c>
      <c r="F178" s="22">
        <v>0</v>
      </c>
      <c r="G178" s="43"/>
      <c r="H178" s="44" t="s">
        <v>159</v>
      </c>
      <c r="I178" s="43" t="s">
        <v>28</v>
      </c>
      <c r="J178" s="70">
        <v>26</v>
      </c>
      <c r="K178" s="70">
        <v>31.8</v>
      </c>
      <c r="L178" s="70">
        <v>35</v>
      </c>
      <c r="M178" s="71">
        <v>35.3</v>
      </c>
      <c r="N178" s="217">
        <v>37.8</v>
      </c>
      <c r="O178" s="72">
        <v>36.3</v>
      </c>
      <c r="P178" s="72">
        <v>36.3</v>
      </c>
      <c r="Q178" s="72">
        <v>36.3</v>
      </c>
      <c r="R178" s="72">
        <v>36.3</v>
      </c>
      <c r="S178" s="72">
        <v>36.4</v>
      </c>
      <c r="T178" s="72">
        <v>36.4</v>
      </c>
      <c r="U178" s="72">
        <v>36.4</v>
      </c>
      <c r="V178" s="72">
        <v>36.4</v>
      </c>
      <c r="W178" s="70">
        <v>36.4</v>
      </c>
      <c r="X178" s="30">
        <v>2024</v>
      </c>
      <c r="Y178" s="140">
        <f t="shared" si="43"/>
        <v>0</v>
      </c>
      <c r="Z178" s="141">
        <f t="shared" si="44"/>
        <v>0</v>
      </c>
      <c r="AA178" s="140">
        <f t="shared" si="45"/>
        <v>0</v>
      </c>
      <c r="AB178" s="140">
        <f t="shared" si="46"/>
        <v>0</v>
      </c>
    </row>
    <row r="179" spans="1:28" ht="51">
      <c r="A179" s="36" t="s">
        <v>19</v>
      </c>
      <c r="B179" s="37">
        <v>1</v>
      </c>
      <c r="C179" s="37">
        <v>1</v>
      </c>
      <c r="D179" s="37">
        <v>5</v>
      </c>
      <c r="E179" s="37">
        <v>0</v>
      </c>
      <c r="F179" s="37">
        <v>1</v>
      </c>
      <c r="G179" s="38"/>
      <c r="H179" s="39" t="s">
        <v>160</v>
      </c>
      <c r="I179" s="38" t="s">
        <v>43</v>
      </c>
      <c r="J179" s="87" t="s">
        <v>44</v>
      </c>
      <c r="K179" s="87" t="s">
        <v>44</v>
      </c>
      <c r="L179" s="87" t="s">
        <v>44</v>
      </c>
      <c r="M179" s="125" t="s">
        <v>44</v>
      </c>
      <c r="N179" s="125" t="s">
        <v>44</v>
      </c>
      <c r="O179" s="125" t="s">
        <v>44</v>
      </c>
      <c r="P179" s="125" t="s">
        <v>44</v>
      </c>
      <c r="Q179" s="125" t="s">
        <v>44</v>
      </c>
      <c r="R179" s="125" t="s">
        <v>44</v>
      </c>
      <c r="S179" s="125" t="s">
        <v>44</v>
      </c>
      <c r="T179" s="125" t="s">
        <v>44</v>
      </c>
      <c r="U179" s="125" t="s">
        <v>44</v>
      </c>
      <c r="V179" s="125" t="s">
        <v>44</v>
      </c>
      <c r="W179" s="125" t="s">
        <v>44</v>
      </c>
      <c r="X179" s="38">
        <v>2024</v>
      </c>
      <c r="Y179" s="140"/>
      <c r="Z179" s="141"/>
      <c r="AA179" s="140"/>
      <c r="AB179" s="140"/>
    </row>
    <row r="180" spans="1:28" ht="51">
      <c r="A180" s="21" t="s">
        <v>19</v>
      </c>
      <c r="B180" s="22">
        <v>1</v>
      </c>
      <c r="C180" s="22">
        <v>1</v>
      </c>
      <c r="D180" s="22">
        <v>5</v>
      </c>
      <c r="E180" s="22">
        <v>0</v>
      </c>
      <c r="F180" s="22">
        <v>1</v>
      </c>
      <c r="G180" s="43"/>
      <c r="H180" s="44" t="s">
        <v>161</v>
      </c>
      <c r="I180" s="43" t="s">
        <v>57</v>
      </c>
      <c r="J180" s="93">
        <v>10</v>
      </c>
      <c r="K180" s="93">
        <v>10</v>
      </c>
      <c r="L180" s="93">
        <v>10</v>
      </c>
      <c r="M180" s="94">
        <v>10</v>
      </c>
      <c r="N180" s="95">
        <v>10</v>
      </c>
      <c r="O180" s="95">
        <v>10</v>
      </c>
      <c r="P180" s="95">
        <v>10</v>
      </c>
      <c r="Q180" s="94">
        <v>10</v>
      </c>
      <c r="R180" s="94">
        <v>10</v>
      </c>
      <c r="S180" s="94">
        <v>10</v>
      </c>
      <c r="T180" s="94">
        <v>10</v>
      </c>
      <c r="U180" s="94">
        <v>10</v>
      </c>
      <c r="V180" s="94">
        <v>10</v>
      </c>
      <c r="W180" s="93">
        <f>J180+K180+L180+M180+N180+P180+R180+T180+V180</f>
        <v>90</v>
      </c>
      <c r="X180" s="30">
        <v>2024</v>
      </c>
      <c r="Y180" s="140">
        <f aca="true" t="shared" si="52" ref="Y180:Y202">P180-O180</f>
        <v>0</v>
      </c>
      <c r="Z180" s="141">
        <f aca="true" t="shared" si="53" ref="Z180:Z202">R180-Q180</f>
        <v>0</v>
      </c>
      <c r="AA180" s="140">
        <f aca="true" t="shared" si="54" ref="AA180:AA202">T180-S180</f>
        <v>0</v>
      </c>
      <c r="AB180" s="140">
        <f aca="true" t="shared" si="55" ref="AB180:AB202">V180-U180</f>
        <v>0</v>
      </c>
    </row>
    <row r="181" spans="1:28" ht="51">
      <c r="A181" s="21" t="s">
        <v>19</v>
      </c>
      <c r="B181" s="22">
        <v>1</v>
      </c>
      <c r="C181" s="22">
        <v>1</v>
      </c>
      <c r="D181" s="22">
        <v>5</v>
      </c>
      <c r="E181" s="22">
        <v>0</v>
      </c>
      <c r="F181" s="22">
        <v>1</v>
      </c>
      <c r="G181" s="43"/>
      <c r="H181" s="44" t="s">
        <v>162</v>
      </c>
      <c r="I181" s="43" t="s">
        <v>28</v>
      </c>
      <c r="J181" s="70">
        <v>100</v>
      </c>
      <c r="K181" s="70">
        <v>100</v>
      </c>
      <c r="L181" s="70">
        <v>100</v>
      </c>
      <c r="M181" s="71">
        <v>100</v>
      </c>
      <c r="N181" s="72">
        <v>100</v>
      </c>
      <c r="O181" s="72">
        <v>100</v>
      </c>
      <c r="P181" s="72">
        <v>100</v>
      </c>
      <c r="Q181" s="72">
        <v>100</v>
      </c>
      <c r="R181" s="72">
        <v>100</v>
      </c>
      <c r="S181" s="72">
        <v>100</v>
      </c>
      <c r="T181" s="72">
        <v>100</v>
      </c>
      <c r="U181" s="72">
        <v>100</v>
      </c>
      <c r="V181" s="72">
        <v>100</v>
      </c>
      <c r="W181" s="70">
        <v>100</v>
      </c>
      <c r="X181" s="30">
        <v>2024</v>
      </c>
      <c r="Y181" s="140">
        <f t="shared" si="52"/>
        <v>0</v>
      </c>
      <c r="Z181" s="141">
        <f t="shared" si="53"/>
        <v>0</v>
      </c>
      <c r="AA181" s="140">
        <f t="shared" si="54"/>
        <v>0</v>
      </c>
      <c r="AB181" s="140">
        <f t="shared" si="55"/>
        <v>0</v>
      </c>
    </row>
    <row r="182" spans="1:28" s="2" customFormat="1" ht="63.75">
      <c r="A182" s="36" t="s">
        <v>19</v>
      </c>
      <c r="B182" s="37">
        <v>1</v>
      </c>
      <c r="C182" s="37">
        <v>1</v>
      </c>
      <c r="D182" s="37">
        <v>5</v>
      </c>
      <c r="E182" s="37">
        <v>0</v>
      </c>
      <c r="F182" s="37">
        <v>2</v>
      </c>
      <c r="G182" s="37"/>
      <c r="H182" s="214" t="s">
        <v>163</v>
      </c>
      <c r="I182" s="37" t="s">
        <v>21</v>
      </c>
      <c r="J182" s="88">
        <v>93</v>
      </c>
      <c r="K182" s="88">
        <f aca="true" t="shared" si="56" ref="K182:V182">K183</f>
        <v>255</v>
      </c>
      <c r="L182" s="88">
        <f t="shared" si="56"/>
        <v>155</v>
      </c>
      <c r="M182" s="88">
        <f t="shared" si="56"/>
        <v>155</v>
      </c>
      <c r="N182" s="88">
        <v>105.1</v>
      </c>
      <c r="O182" s="88">
        <v>155</v>
      </c>
      <c r="P182" s="88">
        <f t="shared" si="56"/>
        <v>155</v>
      </c>
      <c r="Q182" s="88">
        <v>155</v>
      </c>
      <c r="R182" s="88">
        <f t="shared" si="56"/>
        <v>155</v>
      </c>
      <c r="S182" s="88">
        <v>155</v>
      </c>
      <c r="T182" s="88">
        <f t="shared" si="56"/>
        <v>155</v>
      </c>
      <c r="U182" s="88">
        <v>155</v>
      </c>
      <c r="V182" s="88">
        <f t="shared" si="56"/>
        <v>155</v>
      </c>
      <c r="W182" s="88">
        <f>J182+K182+L182+M182+N182+P182+R182+T182+V182</f>
        <v>1383.1</v>
      </c>
      <c r="X182" s="37">
        <v>2024</v>
      </c>
      <c r="Y182" s="140">
        <f t="shared" si="52"/>
        <v>0</v>
      </c>
      <c r="Z182" s="141">
        <f t="shared" si="53"/>
        <v>0</v>
      </c>
      <c r="AA182" s="140">
        <f t="shared" si="54"/>
        <v>0</v>
      </c>
      <c r="AB182" s="140">
        <f t="shared" si="55"/>
        <v>0</v>
      </c>
    </row>
    <row r="183" spans="1:28" s="2" customFormat="1" ht="12.75">
      <c r="A183" s="21" t="s">
        <v>19</v>
      </c>
      <c r="B183" s="22">
        <v>1</v>
      </c>
      <c r="C183" s="22">
        <v>1</v>
      </c>
      <c r="D183" s="22">
        <v>5</v>
      </c>
      <c r="E183" s="22">
        <v>0</v>
      </c>
      <c r="F183" s="22">
        <v>2</v>
      </c>
      <c r="G183" s="22">
        <v>3</v>
      </c>
      <c r="H183" s="26" t="s">
        <v>22</v>
      </c>
      <c r="I183" s="22" t="s">
        <v>21</v>
      </c>
      <c r="J183" s="64">
        <v>93</v>
      </c>
      <c r="K183" s="64">
        <v>255</v>
      </c>
      <c r="L183" s="64">
        <v>155</v>
      </c>
      <c r="M183" s="64">
        <v>155</v>
      </c>
      <c r="N183" s="138">
        <v>105.1</v>
      </c>
      <c r="O183" s="138">
        <v>155</v>
      </c>
      <c r="P183" s="138">
        <v>155</v>
      </c>
      <c r="Q183" s="64">
        <v>155</v>
      </c>
      <c r="R183" s="64">
        <v>155</v>
      </c>
      <c r="S183" s="64">
        <v>155</v>
      </c>
      <c r="T183" s="64">
        <v>155</v>
      </c>
      <c r="U183" s="64">
        <v>155</v>
      </c>
      <c r="V183" s="64">
        <v>155</v>
      </c>
      <c r="W183" s="64">
        <f>J183+K183+L183+M183+N183+P183+R183+T183+V183</f>
        <v>1383.1</v>
      </c>
      <c r="X183" s="28">
        <v>2024</v>
      </c>
      <c r="Y183" s="140">
        <f t="shared" si="52"/>
        <v>0</v>
      </c>
      <c r="Z183" s="141">
        <f t="shared" si="53"/>
        <v>0</v>
      </c>
      <c r="AA183" s="140">
        <f t="shared" si="54"/>
        <v>0</v>
      </c>
      <c r="AB183" s="140">
        <f t="shared" si="55"/>
        <v>0</v>
      </c>
    </row>
    <row r="184" spans="1:28" ht="38.25">
      <c r="A184" s="21" t="s">
        <v>19</v>
      </c>
      <c r="B184" s="22">
        <v>1</v>
      </c>
      <c r="C184" s="22">
        <v>1</v>
      </c>
      <c r="D184" s="22">
        <v>5</v>
      </c>
      <c r="E184" s="22">
        <v>0</v>
      </c>
      <c r="F184" s="22">
        <v>2</v>
      </c>
      <c r="G184" s="43"/>
      <c r="H184" s="46" t="s">
        <v>164</v>
      </c>
      <c r="I184" s="43" t="s">
        <v>57</v>
      </c>
      <c r="J184" s="93">
        <v>6</v>
      </c>
      <c r="K184" s="93">
        <f>7+6</f>
        <v>13</v>
      </c>
      <c r="L184" s="93">
        <v>8</v>
      </c>
      <c r="M184" s="94">
        <v>7</v>
      </c>
      <c r="N184" s="95">
        <v>6</v>
      </c>
      <c r="O184" s="95">
        <v>14</v>
      </c>
      <c r="P184" s="95">
        <v>14</v>
      </c>
      <c r="Q184" s="95">
        <v>14</v>
      </c>
      <c r="R184" s="95">
        <v>14</v>
      </c>
      <c r="S184" s="95">
        <v>14</v>
      </c>
      <c r="T184" s="95">
        <v>14</v>
      </c>
      <c r="U184" s="95">
        <v>14</v>
      </c>
      <c r="V184" s="95">
        <v>14</v>
      </c>
      <c r="W184" s="93">
        <f>SUM(J184:V184)</f>
        <v>152</v>
      </c>
      <c r="X184" s="30">
        <v>2024</v>
      </c>
      <c r="Y184" s="140">
        <f t="shared" si="52"/>
        <v>0</v>
      </c>
      <c r="Z184" s="141">
        <f t="shared" si="53"/>
        <v>0</v>
      </c>
      <c r="AA184" s="140">
        <f t="shared" si="54"/>
        <v>0</v>
      </c>
      <c r="AB184" s="140">
        <f t="shared" si="55"/>
        <v>0</v>
      </c>
    </row>
    <row r="185" spans="1:28" ht="76.5">
      <c r="A185" s="21" t="s">
        <v>19</v>
      </c>
      <c r="B185" s="22">
        <v>1</v>
      </c>
      <c r="C185" s="22">
        <v>1</v>
      </c>
      <c r="D185" s="22">
        <v>5</v>
      </c>
      <c r="E185" s="22">
        <v>0</v>
      </c>
      <c r="F185" s="22">
        <v>2</v>
      </c>
      <c r="G185" s="43"/>
      <c r="H185" s="46" t="s">
        <v>165</v>
      </c>
      <c r="I185" s="43" t="s">
        <v>57</v>
      </c>
      <c r="J185" s="93">
        <v>5</v>
      </c>
      <c r="K185" s="93">
        <f>6-1</f>
        <v>5</v>
      </c>
      <c r="L185" s="93">
        <v>6</v>
      </c>
      <c r="M185" s="94">
        <v>12</v>
      </c>
      <c r="N185" s="95">
        <v>7</v>
      </c>
      <c r="O185" s="95">
        <v>10</v>
      </c>
      <c r="P185" s="95">
        <v>10</v>
      </c>
      <c r="Q185" s="95">
        <v>10</v>
      </c>
      <c r="R185" s="95">
        <v>10</v>
      </c>
      <c r="S185" s="95">
        <v>10</v>
      </c>
      <c r="T185" s="95">
        <v>10</v>
      </c>
      <c r="U185" s="95">
        <v>10</v>
      </c>
      <c r="V185" s="95">
        <v>10</v>
      </c>
      <c r="W185" s="93">
        <f>SUM(J185:V185)</f>
        <v>115</v>
      </c>
      <c r="X185" s="30">
        <v>2024</v>
      </c>
      <c r="Y185" s="140">
        <f t="shared" si="52"/>
        <v>0</v>
      </c>
      <c r="Z185" s="141">
        <f t="shared" si="53"/>
        <v>0</v>
      </c>
      <c r="AA185" s="140">
        <f t="shared" si="54"/>
        <v>0</v>
      </c>
      <c r="AB185" s="140">
        <f t="shared" si="55"/>
        <v>0</v>
      </c>
    </row>
    <row r="186" spans="1:28" ht="38.25">
      <c r="A186" s="21" t="s">
        <v>19</v>
      </c>
      <c r="B186" s="22">
        <v>1</v>
      </c>
      <c r="C186" s="22">
        <v>1</v>
      </c>
      <c r="D186" s="22">
        <v>5</v>
      </c>
      <c r="E186" s="22">
        <v>0</v>
      </c>
      <c r="F186" s="22">
        <v>2</v>
      </c>
      <c r="G186" s="43"/>
      <c r="H186" s="46" t="s">
        <v>166</v>
      </c>
      <c r="I186" s="43" t="s">
        <v>48</v>
      </c>
      <c r="J186" s="93">
        <v>45</v>
      </c>
      <c r="K186" s="93">
        <v>100</v>
      </c>
      <c r="L186" s="93">
        <v>260</v>
      </c>
      <c r="M186" s="94">
        <v>252</v>
      </c>
      <c r="N186" s="95">
        <v>68</v>
      </c>
      <c r="O186" s="95">
        <v>120</v>
      </c>
      <c r="P186" s="95">
        <v>120</v>
      </c>
      <c r="Q186" s="95">
        <v>120</v>
      </c>
      <c r="R186" s="95">
        <v>120</v>
      </c>
      <c r="S186" s="95">
        <v>120</v>
      </c>
      <c r="T186" s="95">
        <v>120</v>
      </c>
      <c r="U186" s="95">
        <v>120</v>
      </c>
      <c r="V186" s="95">
        <v>120</v>
      </c>
      <c r="W186" s="93">
        <f>SUM(J186:V186)</f>
        <v>1685</v>
      </c>
      <c r="X186" s="30">
        <v>2024</v>
      </c>
      <c r="Y186" s="140">
        <f t="shared" si="52"/>
        <v>0</v>
      </c>
      <c r="Z186" s="141">
        <f t="shared" si="53"/>
        <v>0</v>
      </c>
      <c r="AA186" s="140">
        <f t="shared" si="54"/>
        <v>0</v>
      </c>
      <c r="AB186" s="140">
        <f t="shared" si="55"/>
        <v>0</v>
      </c>
    </row>
    <row r="187" spans="1:28" s="2" customFormat="1" ht="63.75">
      <c r="A187" s="36" t="s">
        <v>19</v>
      </c>
      <c r="B187" s="37">
        <v>1</v>
      </c>
      <c r="C187" s="37">
        <v>1</v>
      </c>
      <c r="D187" s="37">
        <v>5</v>
      </c>
      <c r="E187" s="37">
        <v>0</v>
      </c>
      <c r="F187" s="37">
        <v>3</v>
      </c>
      <c r="G187" s="37"/>
      <c r="H187" s="213" t="s">
        <v>167</v>
      </c>
      <c r="I187" s="37" t="s">
        <v>21</v>
      </c>
      <c r="J187" s="88">
        <f aca="true" t="shared" si="57" ref="J187:V187">J188</f>
        <v>295</v>
      </c>
      <c r="K187" s="88">
        <f t="shared" si="57"/>
        <v>188</v>
      </c>
      <c r="L187" s="88">
        <f t="shared" si="57"/>
        <v>188</v>
      </c>
      <c r="M187" s="88">
        <f t="shared" si="57"/>
        <v>188</v>
      </c>
      <c r="N187" s="89">
        <v>51.6</v>
      </c>
      <c r="O187" s="89">
        <v>258.1</v>
      </c>
      <c r="P187" s="89">
        <f t="shared" si="57"/>
        <v>258.1</v>
      </c>
      <c r="Q187" s="89">
        <v>258.1</v>
      </c>
      <c r="R187" s="89">
        <f t="shared" si="57"/>
        <v>258.1</v>
      </c>
      <c r="S187" s="89">
        <v>258.1</v>
      </c>
      <c r="T187" s="89">
        <f t="shared" si="57"/>
        <v>258.1</v>
      </c>
      <c r="U187" s="89">
        <v>258.1</v>
      </c>
      <c r="V187" s="89">
        <f t="shared" si="57"/>
        <v>258.1</v>
      </c>
      <c r="W187" s="88">
        <f aca="true" t="shared" si="58" ref="W187:W198">J187+K187+L187+M187+N187+P187+R187+T187+V187</f>
        <v>1943</v>
      </c>
      <c r="X187" s="37">
        <v>2024</v>
      </c>
      <c r="Y187" s="140">
        <f t="shared" si="52"/>
        <v>0</v>
      </c>
      <c r="Z187" s="141">
        <f t="shared" si="53"/>
        <v>0</v>
      </c>
      <c r="AA187" s="140">
        <f t="shared" si="54"/>
        <v>0</v>
      </c>
      <c r="AB187" s="140">
        <f t="shared" si="55"/>
        <v>0</v>
      </c>
    </row>
    <row r="188" spans="1:28" s="2" customFormat="1" ht="12.75">
      <c r="A188" s="21" t="s">
        <v>19</v>
      </c>
      <c r="B188" s="22">
        <v>1</v>
      </c>
      <c r="C188" s="22">
        <v>1</v>
      </c>
      <c r="D188" s="22">
        <v>5</v>
      </c>
      <c r="E188" s="22">
        <v>0</v>
      </c>
      <c r="F188" s="22">
        <v>3</v>
      </c>
      <c r="G188" s="22">
        <v>3</v>
      </c>
      <c r="H188" s="26" t="s">
        <v>22</v>
      </c>
      <c r="I188" s="22" t="s">
        <v>21</v>
      </c>
      <c r="J188" s="64">
        <v>295</v>
      </c>
      <c r="K188" s="64">
        <v>188</v>
      </c>
      <c r="L188" s="64">
        <v>188</v>
      </c>
      <c r="M188" s="65">
        <v>188</v>
      </c>
      <c r="N188" s="91">
        <v>51.6</v>
      </c>
      <c r="O188" s="91">
        <v>258.1</v>
      </c>
      <c r="P188" s="91">
        <v>258.1</v>
      </c>
      <c r="Q188" s="65">
        <v>258.1</v>
      </c>
      <c r="R188" s="65">
        <v>258.1</v>
      </c>
      <c r="S188" s="65">
        <v>258.1</v>
      </c>
      <c r="T188" s="65">
        <v>258.1</v>
      </c>
      <c r="U188" s="65">
        <v>258.1</v>
      </c>
      <c r="V188" s="65">
        <v>258.1</v>
      </c>
      <c r="W188" s="64">
        <f t="shared" si="58"/>
        <v>1943</v>
      </c>
      <c r="X188" s="28">
        <v>2024</v>
      </c>
      <c r="Y188" s="140">
        <f t="shared" si="52"/>
        <v>0</v>
      </c>
      <c r="Z188" s="141">
        <f t="shared" si="53"/>
        <v>0</v>
      </c>
      <c r="AA188" s="140">
        <f t="shared" si="54"/>
        <v>0</v>
      </c>
      <c r="AB188" s="140">
        <f t="shared" si="55"/>
        <v>0</v>
      </c>
    </row>
    <row r="189" spans="1:28" ht="51">
      <c r="A189" s="21" t="s">
        <v>19</v>
      </c>
      <c r="B189" s="22">
        <v>1</v>
      </c>
      <c r="C189" s="22">
        <v>1</v>
      </c>
      <c r="D189" s="22">
        <v>5</v>
      </c>
      <c r="E189" s="22">
        <v>0</v>
      </c>
      <c r="F189" s="22">
        <v>3</v>
      </c>
      <c r="G189" s="43"/>
      <c r="H189" s="46" t="s">
        <v>168</v>
      </c>
      <c r="I189" s="43" t="s">
        <v>57</v>
      </c>
      <c r="J189" s="93">
        <v>1</v>
      </c>
      <c r="K189" s="93">
        <v>1</v>
      </c>
      <c r="L189" s="93">
        <v>1</v>
      </c>
      <c r="M189" s="94">
        <v>1</v>
      </c>
      <c r="N189" s="95">
        <v>1</v>
      </c>
      <c r="O189" s="95">
        <v>1</v>
      </c>
      <c r="P189" s="95">
        <v>1</v>
      </c>
      <c r="Q189" s="95">
        <v>1</v>
      </c>
      <c r="R189" s="95">
        <v>1</v>
      </c>
      <c r="S189" s="95">
        <v>1</v>
      </c>
      <c r="T189" s="95">
        <v>1</v>
      </c>
      <c r="U189" s="95">
        <v>1</v>
      </c>
      <c r="V189" s="95">
        <v>1</v>
      </c>
      <c r="W189" s="93">
        <f t="shared" si="58"/>
        <v>9</v>
      </c>
      <c r="X189" s="30">
        <v>2024</v>
      </c>
      <c r="Y189" s="140">
        <f t="shared" si="52"/>
        <v>0</v>
      </c>
      <c r="Z189" s="141">
        <f t="shared" si="53"/>
        <v>0</v>
      </c>
      <c r="AA189" s="140">
        <f t="shared" si="54"/>
        <v>0</v>
      </c>
      <c r="AB189" s="140">
        <f t="shared" si="55"/>
        <v>0</v>
      </c>
    </row>
    <row r="190" spans="1:28" ht="38.25">
      <c r="A190" s="21" t="s">
        <v>19</v>
      </c>
      <c r="B190" s="22">
        <v>1</v>
      </c>
      <c r="C190" s="22">
        <v>1</v>
      </c>
      <c r="D190" s="22">
        <v>5</v>
      </c>
      <c r="E190" s="22">
        <v>0</v>
      </c>
      <c r="F190" s="22">
        <v>3</v>
      </c>
      <c r="G190" s="43"/>
      <c r="H190" s="46" t="s">
        <v>169</v>
      </c>
      <c r="I190" s="43" t="s">
        <v>48</v>
      </c>
      <c r="J190" s="93">
        <v>225</v>
      </c>
      <c r="K190" s="93">
        <v>230</v>
      </c>
      <c r="L190" s="93">
        <v>68</v>
      </c>
      <c r="M190" s="95">
        <v>200</v>
      </c>
      <c r="N190" s="190">
        <v>211</v>
      </c>
      <c r="O190" s="190">
        <v>205</v>
      </c>
      <c r="P190" s="190">
        <v>205</v>
      </c>
      <c r="Q190" s="190">
        <v>205</v>
      </c>
      <c r="R190" s="190">
        <v>205</v>
      </c>
      <c r="S190" s="190">
        <v>205</v>
      </c>
      <c r="T190" s="190">
        <v>205</v>
      </c>
      <c r="U190" s="190">
        <v>205</v>
      </c>
      <c r="V190" s="190">
        <v>205</v>
      </c>
      <c r="W190" s="93">
        <f t="shared" si="58"/>
        <v>1754</v>
      </c>
      <c r="X190" s="30">
        <v>2024</v>
      </c>
      <c r="Y190" s="140">
        <f t="shared" si="52"/>
        <v>0</v>
      </c>
      <c r="Z190" s="141">
        <f t="shared" si="53"/>
        <v>0</v>
      </c>
      <c r="AA190" s="140">
        <f t="shared" si="54"/>
        <v>0</v>
      </c>
      <c r="AB190" s="140">
        <f t="shared" si="55"/>
        <v>0</v>
      </c>
    </row>
    <row r="191" spans="1:28" ht="38.25">
      <c r="A191" s="21" t="s">
        <v>19</v>
      </c>
      <c r="B191" s="22">
        <v>1</v>
      </c>
      <c r="C191" s="22">
        <v>1</v>
      </c>
      <c r="D191" s="22">
        <v>5</v>
      </c>
      <c r="E191" s="22">
        <v>0</v>
      </c>
      <c r="F191" s="22">
        <v>3</v>
      </c>
      <c r="G191" s="43"/>
      <c r="H191" s="46" t="s">
        <v>170</v>
      </c>
      <c r="I191" s="43" t="s">
        <v>57</v>
      </c>
      <c r="J191" s="93">
        <v>1</v>
      </c>
      <c r="K191" s="93">
        <v>1</v>
      </c>
      <c r="L191" s="93">
        <v>1</v>
      </c>
      <c r="M191" s="94">
        <v>1</v>
      </c>
      <c r="N191" s="95">
        <v>0</v>
      </c>
      <c r="O191" s="95">
        <v>1</v>
      </c>
      <c r="P191" s="95">
        <v>1</v>
      </c>
      <c r="Q191" s="95">
        <v>1</v>
      </c>
      <c r="R191" s="95">
        <v>1</v>
      </c>
      <c r="S191" s="95">
        <v>1</v>
      </c>
      <c r="T191" s="95">
        <v>1</v>
      </c>
      <c r="U191" s="95">
        <v>1</v>
      </c>
      <c r="V191" s="95">
        <v>1</v>
      </c>
      <c r="W191" s="93">
        <f t="shared" si="58"/>
        <v>8</v>
      </c>
      <c r="X191" s="30">
        <v>2024</v>
      </c>
      <c r="Y191" s="140">
        <f t="shared" si="52"/>
        <v>0</v>
      </c>
      <c r="Z191" s="141">
        <f t="shared" si="53"/>
        <v>0</v>
      </c>
      <c r="AA191" s="140">
        <f t="shared" si="54"/>
        <v>0</v>
      </c>
      <c r="AB191" s="140">
        <f t="shared" si="55"/>
        <v>0</v>
      </c>
    </row>
    <row r="192" spans="1:28" ht="25.5">
      <c r="A192" s="21" t="s">
        <v>19</v>
      </c>
      <c r="B192" s="22">
        <v>1</v>
      </c>
      <c r="C192" s="22">
        <v>1</v>
      </c>
      <c r="D192" s="22">
        <v>5</v>
      </c>
      <c r="E192" s="22">
        <v>0</v>
      </c>
      <c r="F192" s="22">
        <v>3</v>
      </c>
      <c r="G192" s="43"/>
      <c r="H192" s="46" t="s">
        <v>171</v>
      </c>
      <c r="I192" s="43" t="s">
        <v>48</v>
      </c>
      <c r="J192" s="93">
        <v>15</v>
      </c>
      <c r="K192" s="93">
        <f>12+20</f>
        <v>32</v>
      </c>
      <c r="L192" s="93">
        <v>62</v>
      </c>
      <c r="M192" s="95">
        <v>29</v>
      </c>
      <c r="N192" s="95">
        <v>10</v>
      </c>
      <c r="O192" s="95">
        <v>30</v>
      </c>
      <c r="P192" s="95">
        <v>30</v>
      </c>
      <c r="Q192" s="94">
        <v>34</v>
      </c>
      <c r="R192" s="94">
        <v>34</v>
      </c>
      <c r="S192" s="94">
        <v>34</v>
      </c>
      <c r="T192" s="94">
        <v>34</v>
      </c>
      <c r="U192" s="94">
        <v>34</v>
      </c>
      <c r="V192" s="94">
        <v>34</v>
      </c>
      <c r="W192" s="93">
        <f t="shared" si="58"/>
        <v>280</v>
      </c>
      <c r="X192" s="30">
        <v>2024</v>
      </c>
      <c r="Y192" s="140">
        <f t="shared" si="52"/>
        <v>0</v>
      </c>
      <c r="Z192" s="141">
        <f t="shared" si="53"/>
        <v>0</v>
      </c>
      <c r="AA192" s="140">
        <f t="shared" si="54"/>
        <v>0</v>
      </c>
      <c r="AB192" s="140">
        <f t="shared" si="55"/>
        <v>0</v>
      </c>
    </row>
    <row r="193" spans="1:28" s="2" customFormat="1" ht="63.75">
      <c r="A193" s="36" t="s">
        <v>19</v>
      </c>
      <c r="B193" s="37">
        <v>1</v>
      </c>
      <c r="C193" s="37">
        <v>1</v>
      </c>
      <c r="D193" s="37">
        <v>5</v>
      </c>
      <c r="E193" s="37">
        <v>0</v>
      </c>
      <c r="F193" s="37">
        <v>4</v>
      </c>
      <c r="G193" s="37">
        <v>3</v>
      </c>
      <c r="H193" s="40" t="s">
        <v>172</v>
      </c>
      <c r="I193" s="37" t="s">
        <v>21</v>
      </c>
      <c r="J193" s="88">
        <f aca="true" t="shared" si="59" ref="J193:V193">J194</f>
        <v>200</v>
      </c>
      <c r="K193" s="88">
        <f t="shared" si="59"/>
        <v>145</v>
      </c>
      <c r="L193" s="88">
        <f t="shared" si="59"/>
        <v>145</v>
      </c>
      <c r="M193" s="88">
        <f t="shared" si="59"/>
        <v>145</v>
      </c>
      <c r="N193" s="89">
        <v>145</v>
      </c>
      <c r="O193" s="89">
        <v>145</v>
      </c>
      <c r="P193" s="89">
        <f t="shared" si="59"/>
        <v>145</v>
      </c>
      <c r="Q193" s="89">
        <v>145</v>
      </c>
      <c r="R193" s="89">
        <f t="shared" si="59"/>
        <v>145</v>
      </c>
      <c r="S193" s="89">
        <v>145</v>
      </c>
      <c r="T193" s="89">
        <f t="shared" si="59"/>
        <v>145</v>
      </c>
      <c r="U193" s="89">
        <v>145</v>
      </c>
      <c r="V193" s="89">
        <f t="shared" si="59"/>
        <v>145</v>
      </c>
      <c r="W193" s="88">
        <f t="shared" si="58"/>
        <v>1360</v>
      </c>
      <c r="X193" s="37">
        <v>2024</v>
      </c>
      <c r="Y193" s="140">
        <f t="shared" si="52"/>
        <v>0</v>
      </c>
      <c r="Z193" s="141">
        <f t="shared" si="53"/>
        <v>0</v>
      </c>
      <c r="AA193" s="140">
        <f t="shared" si="54"/>
        <v>0</v>
      </c>
      <c r="AB193" s="140">
        <f t="shared" si="55"/>
        <v>0</v>
      </c>
    </row>
    <row r="194" spans="1:28" s="2" customFormat="1" ht="12.75">
      <c r="A194" s="21" t="s">
        <v>19</v>
      </c>
      <c r="B194" s="22">
        <v>1</v>
      </c>
      <c r="C194" s="22">
        <v>1</v>
      </c>
      <c r="D194" s="22">
        <v>5</v>
      </c>
      <c r="E194" s="22">
        <v>0</v>
      </c>
      <c r="F194" s="22">
        <v>4</v>
      </c>
      <c r="G194" s="22">
        <v>3</v>
      </c>
      <c r="H194" s="26" t="s">
        <v>22</v>
      </c>
      <c r="I194" s="22" t="s">
        <v>21</v>
      </c>
      <c r="J194" s="64">
        <v>200</v>
      </c>
      <c r="K194" s="64">
        <v>145</v>
      </c>
      <c r="L194" s="64">
        <v>145</v>
      </c>
      <c r="M194" s="65">
        <v>145</v>
      </c>
      <c r="N194" s="91">
        <v>145</v>
      </c>
      <c r="O194" s="91">
        <v>145</v>
      </c>
      <c r="P194" s="91">
        <v>145</v>
      </c>
      <c r="Q194" s="65">
        <v>145</v>
      </c>
      <c r="R194" s="65">
        <v>145</v>
      </c>
      <c r="S194" s="65">
        <v>145</v>
      </c>
      <c r="T194" s="65">
        <v>145</v>
      </c>
      <c r="U194" s="65">
        <v>145</v>
      </c>
      <c r="V194" s="65">
        <v>145</v>
      </c>
      <c r="W194" s="64">
        <f t="shared" si="58"/>
        <v>1360</v>
      </c>
      <c r="X194" s="28">
        <v>2024</v>
      </c>
      <c r="Y194" s="140">
        <f t="shared" si="52"/>
        <v>0</v>
      </c>
      <c r="Z194" s="141">
        <f t="shared" si="53"/>
        <v>0</v>
      </c>
      <c r="AA194" s="140">
        <f t="shared" si="54"/>
        <v>0</v>
      </c>
      <c r="AB194" s="140">
        <f t="shared" si="55"/>
        <v>0</v>
      </c>
    </row>
    <row r="195" spans="1:28" ht="51">
      <c r="A195" s="21" t="s">
        <v>19</v>
      </c>
      <c r="B195" s="22">
        <v>1</v>
      </c>
      <c r="C195" s="22">
        <v>1</v>
      </c>
      <c r="D195" s="22">
        <v>5</v>
      </c>
      <c r="E195" s="22">
        <v>0</v>
      </c>
      <c r="F195" s="22">
        <v>4</v>
      </c>
      <c r="G195" s="43"/>
      <c r="H195" s="46" t="s">
        <v>173</v>
      </c>
      <c r="I195" s="43" t="s">
        <v>57</v>
      </c>
      <c r="J195" s="93">
        <v>6</v>
      </c>
      <c r="K195" s="93">
        <v>7</v>
      </c>
      <c r="L195" s="93">
        <v>11</v>
      </c>
      <c r="M195" s="94">
        <v>4</v>
      </c>
      <c r="N195" s="95">
        <v>19</v>
      </c>
      <c r="O195" s="95">
        <v>7</v>
      </c>
      <c r="P195" s="95">
        <v>7</v>
      </c>
      <c r="Q195" s="95">
        <v>7</v>
      </c>
      <c r="R195" s="95">
        <v>7</v>
      </c>
      <c r="S195" s="95">
        <v>7</v>
      </c>
      <c r="T195" s="95">
        <v>7</v>
      </c>
      <c r="U195" s="95">
        <v>7</v>
      </c>
      <c r="V195" s="95">
        <v>7</v>
      </c>
      <c r="W195" s="93">
        <f t="shared" si="58"/>
        <v>75</v>
      </c>
      <c r="X195" s="30">
        <v>2024</v>
      </c>
      <c r="Y195" s="140">
        <f t="shared" si="52"/>
        <v>0</v>
      </c>
      <c r="Z195" s="141">
        <f t="shared" si="53"/>
        <v>0</v>
      </c>
      <c r="AA195" s="140">
        <f t="shared" si="54"/>
        <v>0</v>
      </c>
      <c r="AB195" s="140">
        <f t="shared" si="55"/>
        <v>0</v>
      </c>
    </row>
    <row r="196" spans="1:28" ht="51">
      <c r="A196" s="21" t="s">
        <v>19</v>
      </c>
      <c r="B196" s="22">
        <v>1</v>
      </c>
      <c r="C196" s="22">
        <v>1</v>
      </c>
      <c r="D196" s="22">
        <v>5</v>
      </c>
      <c r="E196" s="22">
        <v>0</v>
      </c>
      <c r="F196" s="22">
        <v>4</v>
      </c>
      <c r="G196" s="43"/>
      <c r="H196" s="46" t="s">
        <v>174</v>
      </c>
      <c r="I196" s="43" t="s">
        <v>57</v>
      </c>
      <c r="J196" s="93">
        <v>4</v>
      </c>
      <c r="K196" s="93">
        <v>4</v>
      </c>
      <c r="L196" s="93">
        <v>9</v>
      </c>
      <c r="M196" s="94">
        <v>9</v>
      </c>
      <c r="N196" s="95">
        <v>6</v>
      </c>
      <c r="O196" s="95">
        <v>2</v>
      </c>
      <c r="P196" s="95">
        <v>2</v>
      </c>
      <c r="Q196" s="95">
        <v>2</v>
      </c>
      <c r="R196" s="95">
        <v>2</v>
      </c>
      <c r="S196" s="95">
        <v>2</v>
      </c>
      <c r="T196" s="95">
        <v>2</v>
      </c>
      <c r="U196" s="95">
        <v>2</v>
      </c>
      <c r="V196" s="95">
        <v>2</v>
      </c>
      <c r="W196" s="93">
        <f t="shared" si="58"/>
        <v>40</v>
      </c>
      <c r="X196" s="30">
        <v>2024</v>
      </c>
      <c r="Y196" s="140">
        <f t="shared" si="52"/>
        <v>0</v>
      </c>
      <c r="Z196" s="141">
        <f t="shared" si="53"/>
        <v>0</v>
      </c>
      <c r="AA196" s="140">
        <f t="shared" si="54"/>
        <v>0</v>
      </c>
      <c r="AB196" s="140">
        <f t="shared" si="55"/>
        <v>0</v>
      </c>
    </row>
    <row r="197" spans="1:28" s="2" customFormat="1" ht="25.5">
      <c r="A197" s="160" t="s">
        <v>19</v>
      </c>
      <c r="B197" s="34">
        <v>1</v>
      </c>
      <c r="C197" s="34">
        <v>1</v>
      </c>
      <c r="D197" s="34">
        <v>6</v>
      </c>
      <c r="E197" s="34">
        <v>0</v>
      </c>
      <c r="F197" s="34">
        <v>0</v>
      </c>
      <c r="G197" s="34"/>
      <c r="H197" s="35" t="s">
        <v>175</v>
      </c>
      <c r="I197" s="34" t="s">
        <v>21</v>
      </c>
      <c r="J197" s="81">
        <f aca="true" t="shared" si="60" ref="J197:V197">J198</f>
        <v>4523</v>
      </c>
      <c r="K197" s="81">
        <f t="shared" si="60"/>
        <v>6768</v>
      </c>
      <c r="L197" s="81">
        <f t="shared" si="60"/>
        <v>6527.3</v>
      </c>
      <c r="M197" s="81">
        <f t="shared" si="60"/>
        <v>6852.1</v>
      </c>
      <c r="N197" s="81">
        <v>11334.5</v>
      </c>
      <c r="O197" s="81">
        <v>10806.1</v>
      </c>
      <c r="P197" s="241">
        <f>P198+P199</f>
        <v>10886.7</v>
      </c>
      <c r="Q197" s="81">
        <v>10806.1</v>
      </c>
      <c r="R197" s="249">
        <f t="shared" si="60"/>
        <v>10806.1</v>
      </c>
      <c r="S197" s="249">
        <v>10806.1</v>
      </c>
      <c r="T197" s="249">
        <f t="shared" si="60"/>
        <v>10806.1</v>
      </c>
      <c r="U197" s="249">
        <v>9366.1</v>
      </c>
      <c r="V197" s="249">
        <f t="shared" si="60"/>
        <v>9366.1</v>
      </c>
      <c r="W197" s="81">
        <f t="shared" si="58"/>
        <v>77869.9</v>
      </c>
      <c r="X197" s="34">
        <v>2024</v>
      </c>
      <c r="Y197" s="140">
        <f t="shared" si="52"/>
        <v>80.6</v>
      </c>
      <c r="Z197" s="141">
        <f t="shared" si="53"/>
        <v>0</v>
      </c>
      <c r="AA197" s="140">
        <f t="shared" si="54"/>
        <v>0</v>
      </c>
      <c r="AB197" s="140">
        <f t="shared" si="55"/>
        <v>0</v>
      </c>
    </row>
    <row r="198" spans="1:28" s="2" customFormat="1" ht="12.75">
      <c r="A198" s="21" t="s">
        <v>19</v>
      </c>
      <c r="B198" s="22">
        <v>1</v>
      </c>
      <c r="C198" s="22">
        <v>1</v>
      </c>
      <c r="D198" s="22">
        <v>6</v>
      </c>
      <c r="E198" s="22">
        <v>0</v>
      </c>
      <c r="F198" s="22">
        <v>0</v>
      </c>
      <c r="G198" s="22">
        <v>3</v>
      </c>
      <c r="H198" s="26" t="s">
        <v>22</v>
      </c>
      <c r="I198" s="22" t="s">
        <v>21</v>
      </c>
      <c r="J198" s="64">
        <f aca="true" t="shared" si="61" ref="J198:V198">J207+J216+J221</f>
        <v>4523</v>
      </c>
      <c r="K198" s="64">
        <f t="shared" si="61"/>
        <v>6768</v>
      </c>
      <c r="L198" s="64">
        <f t="shared" si="61"/>
        <v>6527.3</v>
      </c>
      <c r="M198" s="65">
        <f t="shared" si="61"/>
        <v>6852.1</v>
      </c>
      <c r="N198" s="65">
        <v>8594.3</v>
      </c>
      <c r="O198" s="65">
        <v>10806.1</v>
      </c>
      <c r="P198" s="66">
        <f>P207+P216+P221</f>
        <v>10806.1</v>
      </c>
      <c r="Q198" s="65">
        <v>10806.1</v>
      </c>
      <c r="R198" s="132">
        <f t="shared" si="61"/>
        <v>10806.1</v>
      </c>
      <c r="S198" s="132">
        <v>10806.1</v>
      </c>
      <c r="T198" s="132">
        <f t="shared" si="61"/>
        <v>10806.1</v>
      </c>
      <c r="U198" s="132">
        <v>9366.1</v>
      </c>
      <c r="V198" s="132">
        <f t="shared" si="61"/>
        <v>9366.1</v>
      </c>
      <c r="W198" s="64">
        <f t="shared" si="58"/>
        <v>75049.1</v>
      </c>
      <c r="X198" s="28">
        <v>2024</v>
      </c>
      <c r="Y198" s="140">
        <f t="shared" si="52"/>
        <v>0</v>
      </c>
      <c r="Z198" s="141">
        <f t="shared" si="53"/>
        <v>0</v>
      </c>
      <c r="AA198" s="140">
        <f t="shared" si="54"/>
        <v>0</v>
      </c>
      <c r="AB198" s="140">
        <f t="shared" si="55"/>
        <v>0</v>
      </c>
    </row>
    <row r="199" spans="1:28" s="2" customFormat="1" ht="12.75">
      <c r="A199" s="21" t="s">
        <v>19</v>
      </c>
      <c r="B199" s="22">
        <v>1</v>
      </c>
      <c r="C199" s="22">
        <v>1</v>
      </c>
      <c r="D199" s="22">
        <v>6</v>
      </c>
      <c r="E199" s="22">
        <v>0</v>
      </c>
      <c r="F199" s="22">
        <v>0</v>
      </c>
      <c r="G199" s="22">
        <v>2</v>
      </c>
      <c r="H199" s="26" t="s">
        <v>138</v>
      </c>
      <c r="I199" s="22" t="s">
        <v>21</v>
      </c>
      <c r="J199" s="64">
        <v>0</v>
      </c>
      <c r="K199" s="64">
        <v>0</v>
      </c>
      <c r="L199" s="64">
        <v>0</v>
      </c>
      <c r="M199" s="65">
        <v>0</v>
      </c>
      <c r="N199" s="65">
        <v>2740.2</v>
      </c>
      <c r="O199" s="65">
        <v>0</v>
      </c>
      <c r="P199" s="197">
        <f>P222</f>
        <v>80.6</v>
      </c>
      <c r="Q199" s="65">
        <v>0</v>
      </c>
      <c r="R199" s="132">
        <v>0</v>
      </c>
      <c r="S199" s="132">
        <v>0</v>
      </c>
      <c r="T199" s="132">
        <v>0</v>
      </c>
      <c r="U199" s="132">
        <v>0</v>
      </c>
      <c r="V199" s="132">
        <v>0</v>
      </c>
      <c r="W199" s="84">
        <f>N199+P199</f>
        <v>2820.8</v>
      </c>
      <c r="X199" s="133">
        <v>2021</v>
      </c>
      <c r="Y199" s="140">
        <f t="shared" si="52"/>
        <v>80.6</v>
      </c>
      <c r="Z199" s="141">
        <f t="shared" si="53"/>
        <v>0</v>
      </c>
      <c r="AA199" s="140">
        <f t="shared" si="54"/>
        <v>0</v>
      </c>
      <c r="AB199" s="140">
        <f t="shared" si="55"/>
        <v>0</v>
      </c>
    </row>
    <row r="200" spans="1:28" ht="25.5">
      <c r="A200" s="21" t="s">
        <v>19</v>
      </c>
      <c r="B200" s="22">
        <v>1</v>
      </c>
      <c r="C200" s="22">
        <v>1</v>
      </c>
      <c r="D200" s="22">
        <v>6</v>
      </c>
      <c r="E200" s="22">
        <v>0</v>
      </c>
      <c r="F200" s="22">
        <v>0</v>
      </c>
      <c r="G200" s="43"/>
      <c r="H200" s="44" t="s">
        <v>176</v>
      </c>
      <c r="I200" s="43" t="s">
        <v>177</v>
      </c>
      <c r="J200" s="93">
        <v>9</v>
      </c>
      <c r="K200" s="93">
        <v>9</v>
      </c>
      <c r="L200" s="93">
        <v>9</v>
      </c>
      <c r="M200" s="94">
        <v>9</v>
      </c>
      <c r="N200" s="95">
        <v>9</v>
      </c>
      <c r="O200" s="95">
        <v>9</v>
      </c>
      <c r="P200" s="96">
        <v>9</v>
      </c>
      <c r="Q200" s="95">
        <v>9</v>
      </c>
      <c r="R200" s="96">
        <v>9</v>
      </c>
      <c r="S200" s="96">
        <v>9</v>
      </c>
      <c r="T200" s="96">
        <v>9</v>
      </c>
      <c r="U200" s="96">
        <v>9</v>
      </c>
      <c r="V200" s="96">
        <v>9</v>
      </c>
      <c r="W200" s="93">
        <v>9</v>
      </c>
      <c r="X200" s="30">
        <v>2024</v>
      </c>
      <c r="Y200" s="140">
        <f t="shared" si="52"/>
        <v>0</v>
      </c>
      <c r="Z200" s="141">
        <f t="shared" si="53"/>
        <v>0</v>
      </c>
      <c r="AA200" s="140">
        <f t="shared" si="54"/>
        <v>0</v>
      </c>
      <c r="AB200" s="140">
        <f t="shared" si="55"/>
        <v>0</v>
      </c>
    </row>
    <row r="201" spans="1:28" ht="63.75">
      <c r="A201" s="21" t="s">
        <v>19</v>
      </c>
      <c r="B201" s="22">
        <v>1</v>
      </c>
      <c r="C201" s="22">
        <v>1</v>
      </c>
      <c r="D201" s="22">
        <v>6</v>
      </c>
      <c r="E201" s="22">
        <v>0</v>
      </c>
      <c r="F201" s="22">
        <v>0</v>
      </c>
      <c r="G201" s="43"/>
      <c r="H201" s="44" t="s">
        <v>178</v>
      </c>
      <c r="I201" s="43" t="s">
        <v>28</v>
      </c>
      <c r="J201" s="76">
        <f>J198/J9*100</f>
        <v>0.4</v>
      </c>
      <c r="K201" s="76">
        <f>K198/K9*100</f>
        <v>0.6</v>
      </c>
      <c r="L201" s="76">
        <f>L198/L9*100</f>
        <v>0.5</v>
      </c>
      <c r="M201" s="76">
        <f>M198/M9*100</f>
        <v>0.4</v>
      </c>
      <c r="N201" s="76">
        <f>N198/N9*100</f>
        <v>0.5</v>
      </c>
      <c r="O201" s="76">
        <v>0.7</v>
      </c>
      <c r="P201" s="235">
        <f>P198/P9*100</f>
        <v>0.7</v>
      </c>
      <c r="Q201" s="235">
        <v>0.7</v>
      </c>
      <c r="R201" s="235">
        <f>R198/R9*100</f>
        <v>0.7</v>
      </c>
      <c r="S201" s="235">
        <v>0.7</v>
      </c>
      <c r="T201" s="235">
        <f>T198/T9*100</f>
        <v>0.7</v>
      </c>
      <c r="U201" s="235">
        <v>0.6</v>
      </c>
      <c r="V201" s="235">
        <f>V198/V9*100</f>
        <v>0.6</v>
      </c>
      <c r="W201" s="236">
        <v>0.6</v>
      </c>
      <c r="X201" s="30">
        <v>2024</v>
      </c>
      <c r="Y201" s="140">
        <f t="shared" si="52"/>
        <v>0</v>
      </c>
      <c r="Z201" s="141">
        <f t="shared" si="53"/>
        <v>0</v>
      </c>
      <c r="AA201" s="140">
        <f t="shared" si="54"/>
        <v>0</v>
      </c>
      <c r="AB201" s="140">
        <f t="shared" si="55"/>
        <v>0</v>
      </c>
    </row>
    <row r="202" spans="1:28" s="8" customFormat="1" ht="102">
      <c r="A202" s="21" t="s">
        <v>19</v>
      </c>
      <c r="B202" s="22">
        <v>1</v>
      </c>
      <c r="C202" s="22">
        <v>1</v>
      </c>
      <c r="D202" s="22">
        <v>6</v>
      </c>
      <c r="E202" s="22">
        <v>0</v>
      </c>
      <c r="F202" s="22">
        <v>0</v>
      </c>
      <c r="G202" s="43"/>
      <c r="H202" s="46" t="s">
        <v>179</v>
      </c>
      <c r="I202" s="43" t="s">
        <v>28</v>
      </c>
      <c r="J202" s="99">
        <v>0</v>
      </c>
      <c r="K202" s="99">
        <v>0</v>
      </c>
      <c r="L202" s="70">
        <v>50</v>
      </c>
      <c r="M202" s="71">
        <v>60</v>
      </c>
      <c r="N202" s="72">
        <v>73.9</v>
      </c>
      <c r="O202" s="72">
        <v>70</v>
      </c>
      <c r="P202" s="73">
        <v>70</v>
      </c>
      <c r="Q202" s="72">
        <v>70</v>
      </c>
      <c r="R202" s="73">
        <v>70</v>
      </c>
      <c r="S202" s="73">
        <v>70</v>
      </c>
      <c r="T202" s="73">
        <v>70</v>
      </c>
      <c r="U202" s="73">
        <v>70</v>
      </c>
      <c r="V202" s="73">
        <v>70</v>
      </c>
      <c r="W202" s="70">
        <v>70</v>
      </c>
      <c r="X202" s="30">
        <v>2024</v>
      </c>
      <c r="Y202" s="140">
        <f t="shared" si="52"/>
        <v>0</v>
      </c>
      <c r="Z202" s="141">
        <f t="shared" si="53"/>
        <v>0</v>
      </c>
      <c r="AA202" s="140">
        <f t="shared" si="54"/>
        <v>0</v>
      </c>
      <c r="AB202" s="140">
        <f t="shared" si="55"/>
        <v>0</v>
      </c>
    </row>
    <row r="203" spans="1:28" ht="51">
      <c r="A203" s="36" t="s">
        <v>19</v>
      </c>
      <c r="B203" s="37">
        <v>1</v>
      </c>
      <c r="C203" s="37">
        <v>1</v>
      </c>
      <c r="D203" s="37">
        <v>6</v>
      </c>
      <c r="E203" s="37">
        <v>0</v>
      </c>
      <c r="F203" s="37">
        <v>1</v>
      </c>
      <c r="G203" s="38"/>
      <c r="H203" s="39" t="s">
        <v>180</v>
      </c>
      <c r="I203" s="38" t="s">
        <v>43</v>
      </c>
      <c r="J203" s="87" t="s">
        <v>44</v>
      </c>
      <c r="K203" s="87" t="s">
        <v>44</v>
      </c>
      <c r="L203" s="87" t="s">
        <v>44</v>
      </c>
      <c r="M203" s="125" t="s">
        <v>44</v>
      </c>
      <c r="N203" s="125" t="s">
        <v>44</v>
      </c>
      <c r="O203" s="125" t="s">
        <v>44</v>
      </c>
      <c r="P203" s="125" t="s">
        <v>44</v>
      </c>
      <c r="Q203" s="125" t="s">
        <v>44</v>
      </c>
      <c r="R203" s="125" t="s">
        <v>44</v>
      </c>
      <c r="S203" s="125" t="s">
        <v>44</v>
      </c>
      <c r="T203" s="125" t="s">
        <v>44</v>
      </c>
      <c r="U203" s="125" t="s">
        <v>44</v>
      </c>
      <c r="V203" s="125" t="s">
        <v>44</v>
      </c>
      <c r="W203" s="125" t="s">
        <v>44</v>
      </c>
      <c r="X203" s="38">
        <v>2024</v>
      </c>
      <c r="Y203" s="140"/>
      <c r="Z203" s="141"/>
      <c r="AA203" s="140"/>
      <c r="AB203" s="140"/>
    </row>
    <row r="204" spans="1:28" ht="38.25">
      <c r="A204" s="21" t="s">
        <v>19</v>
      </c>
      <c r="B204" s="22">
        <v>1</v>
      </c>
      <c r="C204" s="22">
        <v>1</v>
      </c>
      <c r="D204" s="22">
        <v>6</v>
      </c>
      <c r="E204" s="22">
        <v>0</v>
      </c>
      <c r="F204" s="22">
        <v>1</v>
      </c>
      <c r="G204" s="43"/>
      <c r="H204" s="44" t="s">
        <v>181</v>
      </c>
      <c r="I204" s="43" t="s">
        <v>57</v>
      </c>
      <c r="J204" s="93">
        <v>29</v>
      </c>
      <c r="K204" s="93">
        <v>28</v>
      </c>
      <c r="L204" s="93">
        <v>28</v>
      </c>
      <c r="M204" s="94">
        <v>28</v>
      </c>
      <c r="N204" s="95">
        <v>28</v>
      </c>
      <c r="O204" s="95">
        <v>28</v>
      </c>
      <c r="P204" s="95">
        <v>28</v>
      </c>
      <c r="Q204" s="95">
        <v>28</v>
      </c>
      <c r="R204" s="95">
        <v>28</v>
      </c>
      <c r="S204" s="95">
        <v>28</v>
      </c>
      <c r="T204" s="95">
        <v>28</v>
      </c>
      <c r="U204" s="95">
        <v>28</v>
      </c>
      <c r="V204" s="95">
        <v>28</v>
      </c>
      <c r="W204" s="93">
        <v>28</v>
      </c>
      <c r="X204" s="30">
        <v>2024</v>
      </c>
      <c r="Y204" s="140">
        <f aca="true" t="shared" si="62" ref="Y204:Y230">P204-O204</f>
        <v>0</v>
      </c>
      <c r="Z204" s="141">
        <f aca="true" t="shared" si="63" ref="Z204:Z230">R204-Q204</f>
        <v>0</v>
      </c>
      <c r="AA204" s="140">
        <f aca="true" t="shared" si="64" ref="AA204:AA230">T204-S204</f>
        <v>0</v>
      </c>
      <c r="AB204" s="140">
        <f aca="true" t="shared" si="65" ref="AB204:AB230">V204-U204</f>
        <v>0</v>
      </c>
    </row>
    <row r="205" spans="1:28" ht="51">
      <c r="A205" s="21" t="s">
        <v>19</v>
      </c>
      <c r="B205" s="22">
        <v>1</v>
      </c>
      <c r="C205" s="22">
        <v>1</v>
      </c>
      <c r="D205" s="22">
        <v>6</v>
      </c>
      <c r="E205" s="22">
        <v>0</v>
      </c>
      <c r="F205" s="22">
        <v>1</v>
      </c>
      <c r="G205" s="43"/>
      <c r="H205" s="44" t="s">
        <v>182</v>
      </c>
      <c r="I205" s="43" t="s">
        <v>57</v>
      </c>
      <c r="J205" s="93">
        <v>1</v>
      </c>
      <c r="K205" s="93">
        <v>1</v>
      </c>
      <c r="L205" s="93">
        <v>2</v>
      </c>
      <c r="M205" s="94">
        <v>2</v>
      </c>
      <c r="N205" s="95">
        <v>2</v>
      </c>
      <c r="O205" s="95">
        <v>2</v>
      </c>
      <c r="P205" s="95">
        <v>2</v>
      </c>
      <c r="Q205" s="95">
        <v>2</v>
      </c>
      <c r="R205" s="95">
        <v>2</v>
      </c>
      <c r="S205" s="95">
        <v>2</v>
      </c>
      <c r="T205" s="95">
        <v>2</v>
      </c>
      <c r="U205" s="95">
        <v>2</v>
      </c>
      <c r="V205" s="95">
        <v>2</v>
      </c>
      <c r="W205" s="93">
        <f>SUM(J205:V205)</f>
        <v>24</v>
      </c>
      <c r="X205" s="30">
        <v>2024</v>
      </c>
      <c r="Y205" s="140">
        <f t="shared" si="62"/>
        <v>0</v>
      </c>
      <c r="Z205" s="141">
        <f t="shared" si="63"/>
        <v>0</v>
      </c>
      <c r="AA205" s="140">
        <f t="shared" si="64"/>
        <v>0</v>
      </c>
      <c r="AB205" s="140">
        <f t="shared" si="65"/>
        <v>0</v>
      </c>
    </row>
    <row r="206" spans="1:28" s="2" customFormat="1" ht="51">
      <c r="A206" s="36" t="s">
        <v>19</v>
      </c>
      <c r="B206" s="37">
        <v>1</v>
      </c>
      <c r="C206" s="37">
        <v>1</v>
      </c>
      <c r="D206" s="37">
        <v>6</v>
      </c>
      <c r="E206" s="37">
        <v>0</v>
      </c>
      <c r="F206" s="37">
        <v>2</v>
      </c>
      <c r="G206" s="37"/>
      <c r="H206" s="40" t="s">
        <v>183</v>
      </c>
      <c r="I206" s="37" t="s">
        <v>21</v>
      </c>
      <c r="J206" s="88">
        <f aca="true" t="shared" si="66" ref="J206:V206">J207</f>
        <v>2296.3</v>
      </c>
      <c r="K206" s="88">
        <f t="shared" si="66"/>
        <v>4455.4</v>
      </c>
      <c r="L206" s="88">
        <f t="shared" si="66"/>
        <v>4464.7</v>
      </c>
      <c r="M206" s="89">
        <f t="shared" si="66"/>
        <v>4656.2</v>
      </c>
      <c r="N206" s="89">
        <v>3838.7</v>
      </c>
      <c r="O206" s="89">
        <v>6006.8</v>
      </c>
      <c r="P206" s="90">
        <f t="shared" si="66"/>
        <v>5391.9</v>
      </c>
      <c r="Q206" s="89">
        <v>6091.8</v>
      </c>
      <c r="R206" s="89">
        <f t="shared" si="66"/>
        <v>6091.8</v>
      </c>
      <c r="S206" s="89">
        <v>6091.8</v>
      </c>
      <c r="T206" s="89">
        <f t="shared" si="66"/>
        <v>6091.8</v>
      </c>
      <c r="U206" s="89">
        <v>4651.8</v>
      </c>
      <c r="V206" s="89">
        <f t="shared" si="66"/>
        <v>4651.8</v>
      </c>
      <c r="W206" s="88">
        <f aca="true" t="shared" si="67" ref="W206:W216">J206+K206+L206+M206+N206+P206+R206+T206+V206</f>
        <v>41938.6</v>
      </c>
      <c r="X206" s="37">
        <v>2024</v>
      </c>
      <c r="Y206" s="140">
        <f t="shared" si="62"/>
        <v>-614.9</v>
      </c>
      <c r="Z206" s="141">
        <f t="shared" si="63"/>
        <v>0</v>
      </c>
      <c r="AA206" s="140">
        <f t="shared" si="64"/>
        <v>0</v>
      </c>
      <c r="AB206" s="140">
        <f t="shared" si="65"/>
        <v>0</v>
      </c>
    </row>
    <row r="207" spans="1:28" s="2" customFormat="1" ht="12.75">
      <c r="A207" s="21" t="s">
        <v>19</v>
      </c>
      <c r="B207" s="22">
        <v>1</v>
      </c>
      <c r="C207" s="22">
        <v>1</v>
      </c>
      <c r="D207" s="22">
        <v>6</v>
      </c>
      <c r="E207" s="22">
        <v>0</v>
      </c>
      <c r="F207" s="22">
        <v>2</v>
      </c>
      <c r="G207" s="22">
        <v>3</v>
      </c>
      <c r="H207" s="26" t="s">
        <v>22</v>
      </c>
      <c r="I207" s="22" t="s">
        <v>21</v>
      </c>
      <c r="J207" s="64">
        <f>1855+668-226.7</f>
        <v>2296.3</v>
      </c>
      <c r="K207" s="64">
        <v>4455.4</v>
      </c>
      <c r="L207" s="64">
        <v>4464.7</v>
      </c>
      <c r="M207" s="65">
        <v>4656.2</v>
      </c>
      <c r="N207" s="91">
        <v>3838.7</v>
      </c>
      <c r="O207" s="91">
        <v>6006.8</v>
      </c>
      <c r="P207" s="92">
        <v>5391.9</v>
      </c>
      <c r="Q207" s="65">
        <v>6091.8</v>
      </c>
      <c r="R207" s="65">
        <v>6091.8</v>
      </c>
      <c r="S207" s="65">
        <v>6091.8</v>
      </c>
      <c r="T207" s="65">
        <v>6091.8</v>
      </c>
      <c r="U207" s="65">
        <v>4651.8</v>
      </c>
      <c r="V207" s="65">
        <v>4651.8</v>
      </c>
      <c r="W207" s="64">
        <f t="shared" si="67"/>
        <v>41938.6</v>
      </c>
      <c r="X207" s="28">
        <v>2024</v>
      </c>
      <c r="Y207" s="140">
        <f t="shared" si="62"/>
        <v>-614.9</v>
      </c>
      <c r="Z207" s="141">
        <f t="shared" si="63"/>
        <v>0</v>
      </c>
      <c r="AA207" s="140">
        <f t="shared" si="64"/>
        <v>0</v>
      </c>
      <c r="AB207" s="140">
        <f t="shared" si="65"/>
        <v>0</v>
      </c>
    </row>
    <row r="208" spans="1:28" ht="63.75">
      <c r="A208" s="21" t="s">
        <v>19</v>
      </c>
      <c r="B208" s="22">
        <v>1</v>
      </c>
      <c r="C208" s="22">
        <v>1</v>
      </c>
      <c r="D208" s="22">
        <v>6</v>
      </c>
      <c r="E208" s="22">
        <v>0</v>
      </c>
      <c r="F208" s="22">
        <v>2</v>
      </c>
      <c r="G208" s="43"/>
      <c r="H208" s="46" t="s">
        <v>184</v>
      </c>
      <c r="I208" s="43" t="s">
        <v>48</v>
      </c>
      <c r="J208" s="93">
        <v>2700</v>
      </c>
      <c r="K208" s="93">
        <f>2750+5</f>
        <v>2755</v>
      </c>
      <c r="L208" s="93">
        <v>4310</v>
      </c>
      <c r="M208" s="190">
        <v>4314</v>
      </c>
      <c r="N208" s="190">
        <v>1062</v>
      </c>
      <c r="O208" s="190">
        <v>4325</v>
      </c>
      <c r="P208" s="223">
        <v>3112</v>
      </c>
      <c r="Q208" s="190">
        <v>4325</v>
      </c>
      <c r="R208" s="190">
        <v>4325</v>
      </c>
      <c r="S208" s="190">
        <v>4325</v>
      </c>
      <c r="T208" s="190">
        <v>4325</v>
      </c>
      <c r="U208" s="190">
        <v>4330</v>
      </c>
      <c r="V208" s="190">
        <v>4330</v>
      </c>
      <c r="W208" s="190">
        <f t="shared" si="67"/>
        <v>31233</v>
      </c>
      <c r="X208" s="30">
        <v>2024</v>
      </c>
      <c r="Y208" s="140">
        <f t="shared" si="62"/>
        <v>-1213</v>
      </c>
      <c r="Z208" s="141">
        <f t="shared" si="63"/>
        <v>0</v>
      </c>
      <c r="AA208" s="140">
        <f t="shared" si="64"/>
        <v>0</v>
      </c>
      <c r="AB208" s="140">
        <f t="shared" si="65"/>
        <v>0</v>
      </c>
    </row>
    <row r="209" spans="1:28" ht="25.5">
      <c r="A209" s="21" t="s">
        <v>19</v>
      </c>
      <c r="B209" s="22">
        <v>1</v>
      </c>
      <c r="C209" s="22">
        <v>1</v>
      </c>
      <c r="D209" s="22">
        <v>6</v>
      </c>
      <c r="E209" s="22">
        <v>0</v>
      </c>
      <c r="F209" s="22">
        <v>2</v>
      </c>
      <c r="G209" s="43"/>
      <c r="H209" s="46" t="s">
        <v>185</v>
      </c>
      <c r="I209" s="43" t="s">
        <v>57</v>
      </c>
      <c r="J209" s="93">
        <v>2</v>
      </c>
      <c r="K209" s="93">
        <v>2</v>
      </c>
      <c r="L209" s="93">
        <v>2</v>
      </c>
      <c r="M209" s="190">
        <v>2</v>
      </c>
      <c r="N209" s="190">
        <v>1</v>
      </c>
      <c r="O209" s="190">
        <v>2</v>
      </c>
      <c r="P209" s="191">
        <v>2</v>
      </c>
      <c r="Q209" s="190">
        <v>2</v>
      </c>
      <c r="R209" s="190">
        <v>2</v>
      </c>
      <c r="S209" s="190">
        <v>2</v>
      </c>
      <c r="T209" s="190">
        <v>2</v>
      </c>
      <c r="U209" s="190">
        <v>2</v>
      </c>
      <c r="V209" s="190">
        <v>2</v>
      </c>
      <c r="W209" s="190">
        <f t="shared" si="67"/>
        <v>17</v>
      </c>
      <c r="X209" s="30">
        <v>2024</v>
      </c>
      <c r="Y209" s="140">
        <f t="shared" si="62"/>
        <v>0</v>
      </c>
      <c r="Z209" s="141">
        <f t="shared" si="63"/>
        <v>0</v>
      </c>
      <c r="AA209" s="140">
        <f t="shared" si="64"/>
        <v>0</v>
      </c>
      <c r="AB209" s="140">
        <f t="shared" si="65"/>
        <v>0</v>
      </c>
    </row>
    <row r="210" spans="1:28" ht="38.25">
      <c r="A210" s="21" t="s">
        <v>19</v>
      </c>
      <c r="B210" s="22">
        <v>1</v>
      </c>
      <c r="C210" s="22">
        <v>1</v>
      </c>
      <c r="D210" s="22">
        <v>6</v>
      </c>
      <c r="E210" s="22">
        <v>0</v>
      </c>
      <c r="F210" s="22">
        <v>2</v>
      </c>
      <c r="G210" s="43"/>
      <c r="H210" s="46" t="s">
        <v>186</v>
      </c>
      <c r="I210" s="43" t="s">
        <v>48</v>
      </c>
      <c r="J210" s="93">
        <v>120</v>
      </c>
      <c r="K210" s="93">
        <v>130</v>
      </c>
      <c r="L210" s="93">
        <v>100</v>
      </c>
      <c r="M210" s="190">
        <v>70</v>
      </c>
      <c r="N210" s="190">
        <v>100</v>
      </c>
      <c r="O210" s="190">
        <v>100</v>
      </c>
      <c r="P210" s="191">
        <v>100</v>
      </c>
      <c r="Q210" s="191">
        <v>100</v>
      </c>
      <c r="R210" s="191">
        <v>100</v>
      </c>
      <c r="S210" s="190">
        <v>100</v>
      </c>
      <c r="T210" s="190">
        <v>100</v>
      </c>
      <c r="U210" s="190">
        <v>100</v>
      </c>
      <c r="V210" s="190">
        <v>100</v>
      </c>
      <c r="W210" s="190">
        <f t="shared" si="67"/>
        <v>920</v>
      </c>
      <c r="X210" s="30">
        <v>2024</v>
      </c>
      <c r="Y210" s="140">
        <f t="shared" si="62"/>
        <v>0</v>
      </c>
      <c r="Z210" s="141">
        <f t="shared" si="63"/>
        <v>0</v>
      </c>
      <c r="AA210" s="140">
        <f t="shared" si="64"/>
        <v>0</v>
      </c>
      <c r="AB210" s="140">
        <f t="shared" si="65"/>
        <v>0</v>
      </c>
    </row>
    <row r="211" spans="1:28" ht="38.25">
      <c r="A211" s="21" t="s">
        <v>19</v>
      </c>
      <c r="B211" s="22">
        <v>1</v>
      </c>
      <c r="C211" s="22">
        <v>1</v>
      </c>
      <c r="D211" s="22">
        <v>6</v>
      </c>
      <c r="E211" s="22">
        <v>0</v>
      </c>
      <c r="F211" s="22">
        <v>2</v>
      </c>
      <c r="G211" s="43"/>
      <c r="H211" s="46" t="s">
        <v>187</v>
      </c>
      <c r="I211" s="43" t="s">
        <v>48</v>
      </c>
      <c r="J211" s="93">
        <v>1055</v>
      </c>
      <c r="K211" s="93">
        <v>1060</v>
      </c>
      <c r="L211" s="93">
        <v>1060</v>
      </c>
      <c r="M211" s="190">
        <v>1881</v>
      </c>
      <c r="N211" s="190">
        <v>130</v>
      </c>
      <c r="O211" s="190">
        <v>1890</v>
      </c>
      <c r="P211" s="223">
        <v>1520</v>
      </c>
      <c r="Q211" s="190">
        <v>1890</v>
      </c>
      <c r="R211" s="190">
        <v>1890</v>
      </c>
      <c r="S211" s="190">
        <v>1890</v>
      </c>
      <c r="T211" s="190">
        <v>1890</v>
      </c>
      <c r="U211" s="190">
        <v>1895</v>
      </c>
      <c r="V211" s="190">
        <v>1895</v>
      </c>
      <c r="W211" s="190">
        <f t="shared" si="67"/>
        <v>12381</v>
      </c>
      <c r="X211" s="30">
        <v>2024</v>
      </c>
      <c r="Y211" s="140">
        <f t="shared" si="62"/>
        <v>-370</v>
      </c>
      <c r="Z211" s="141">
        <f t="shared" si="63"/>
        <v>0</v>
      </c>
      <c r="AA211" s="140">
        <f t="shared" si="64"/>
        <v>0</v>
      </c>
      <c r="AB211" s="140">
        <f t="shared" si="65"/>
        <v>0</v>
      </c>
    </row>
    <row r="212" spans="1:28" ht="76.5">
      <c r="A212" s="21" t="s">
        <v>19</v>
      </c>
      <c r="B212" s="22">
        <v>1</v>
      </c>
      <c r="C212" s="22">
        <v>1</v>
      </c>
      <c r="D212" s="22">
        <v>6</v>
      </c>
      <c r="E212" s="22">
        <v>0</v>
      </c>
      <c r="F212" s="22">
        <v>2</v>
      </c>
      <c r="G212" s="22"/>
      <c r="H212" s="240" t="s">
        <v>188</v>
      </c>
      <c r="I212" s="43" t="s">
        <v>57</v>
      </c>
      <c r="J212" s="99">
        <v>81</v>
      </c>
      <c r="K212" s="99">
        <v>180</v>
      </c>
      <c r="L212" s="99">
        <v>180</v>
      </c>
      <c r="M212" s="215">
        <v>437</v>
      </c>
      <c r="N212" s="215">
        <v>369</v>
      </c>
      <c r="O212" s="215">
        <v>437</v>
      </c>
      <c r="P212" s="215">
        <v>437</v>
      </c>
      <c r="Q212" s="215">
        <v>437</v>
      </c>
      <c r="R212" s="215">
        <v>437</v>
      </c>
      <c r="S212" s="215">
        <v>437</v>
      </c>
      <c r="T212" s="215">
        <v>437</v>
      </c>
      <c r="U212" s="215">
        <v>437</v>
      </c>
      <c r="V212" s="215">
        <v>437</v>
      </c>
      <c r="W212" s="190">
        <f t="shared" si="67"/>
        <v>2995</v>
      </c>
      <c r="X212" s="30">
        <v>2024</v>
      </c>
      <c r="Y212" s="140">
        <f t="shared" si="62"/>
        <v>0</v>
      </c>
      <c r="Z212" s="141">
        <f t="shared" si="63"/>
        <v>0</v>
      </c>
      <c r="AA212" s="140">
        <f t="shared" si="64"/>
        <v>0</v>
      </c>
      <c r="AB212" s="140">
        <f t="shared" si="65"/>
        <v>0</v>
      </c>
    </row>
    <row r="213" spans="1:28" ht="38.25">
      <c r="A213" s="21" t="s">
        <v>19</v>
      </c>
      <c r="B213" s="22">
        <v>1</v>
      </c>
      <c r="C213" s="22">
        <v>1</v>
      </c>
      <c r="D213" s="22">
        <v>6</v>
      </c>
      <c r="E213" s="22">
        <v>0</v>
      </c>
      <c r="F213" s="22">
        <v>2</v>
      </c>
      <c r="G213" s="22"/>
      <c r="H213" s="46" t="s">
        <v>189</v>
      </c>
      <c r="I213" s="43" t="s">
        <v>57</v>
      </c>
      <c r="J213" s="99">
        <v>125</v>
      </c>
      <c r="K213" s="99">
        <v>125</v>
      </c>
      <c r="L213" s="99">
        <v>125</v>
      </c>
      <c r="M213" s="163">
        <v>125</v>
      </c>
      <c r="N213" s="100">
        <v>0</v>
      </c>
      <c r="O213" s="100">
        <v>125</v>
      </c>
      <c r="P213" s="100">
        <v>125</v>
      </c>
      <c r="Q213" s="100">
        <v>125</v>
      </c>
      <c r="R213" s="100">
        <v>125</v>
      </c>
      <c r="S213" s="100">
        <v>125</v>
      </c>
      <c r="T213" s="100">
        <v>125</v>
      </c>
      <c r="U213" s="100">
        <v>125</v>
      </c>
      <c r="V213" s="100">
        <v>125</v>
      </c>
      <c r="W213" s="190">
        <f t="shared" si="67"/>
        <v>1000</v>
      </c>
      <c r="X213" s="30">
        <v>2024</v>
      </c>
      <c r="Y213" s="140">
        <f t="shared" si="62"/>
        <v>0</v>
      </c>
      <c r="Z213" s="141">
        <f t="shared" si="63"/>
        <v>0</v>
      </c>
      <c r="AA213" s="140">
        <f t="shared" si="64"/>
        <v>0</v>
      </c>
      <c r="AB213" s="140">
        <f t="shared" si="65"/>
        <v>0</v>
      </c>
    </row>
    <row r="214" spans="1:28" ht="25.5">
      <c r="A214" s="21" t="s">
        <v>19</v>
      </c>
      <c r="B214" s="22">
        <v>1</v>
      </c>
      <c r="C214" s="22">
        <v>1</v>
      </c>
      <c r="D214" s="22">
        <v>6</v>
      </c>
      <c r="E214" s="22">
        <v>0</v>
      </c>
      <c r="F214" s="22">
        <v>2</v>
      </c>
      <c r="G214" s="22"/>
      <c r="H214" s="46" t="s">
        <v>190</v>
      </c>
      <c r="I214" s="43" t="s">
        <v>57</v>
      </c>
      <c r="J214" s="99">
        <v>342</v>
      </c>
      <c r="K214" s="99">
        <v>720</v>
      </c>
      <c r="L214" s="99">
        <v>720</v>
      </c>
      <c r="M214" s="163">
        <v>720</v>
      </c>
      <c r="N214" s="100">
        <v>486</v>
      </c>
      <c r="O214" s="100">
        <v>720</v>
      </c>
      <c r="P214" s="100">
        <v>720</v>
      </c>
      <c r="Q214" s="100">
        <v>720</v>
      </c>
      <c r="R214" s="100">
        <v>720</v>
      </c>
      <c r="S214" s="100">
        <v>720</v>
      </c>
      <c r="T214" s="100">
        <v>720</v>
      </c>
      <c r="U214" s="100">
        <v>720</v>
      </c>
      <c r="V214" s="100">
        <v>720</v>
      </c>
      <c r="W214" s="190">
        <f t="shared" si="67"/>
        <v>5868</v>
      </c>
      <c r="X214" s="30">
        <v>2024</v>
      </c>
      <c r="Y214" s="140">
        <f t="shared" si="62"/>
        <v>0</v>
      </c>
      <c r="Z214" s="141">
        <f t="shared" si="63"/>
        <v>0</v>
      </c>
      <c r="AA214" s="140">
        <f t="shared" si="64"/>
        <v>0</v>
      </c>
      <c r="AB214" s="140">
        <f t="shared" si="65"/>
        <v>0</v>
      </c>
    </row>
    <row r="215" spans="1:28" s="2" customFormat="1" ht="51">
      <c r="A215" s="36" t="s">
        <v>19</v>
      </c>
      <c r="B215" s="37">
        <v>1</v>
      </c>
      <c r="C215" s="37">
        <v>1</v>
      </c>
      <c r="D215" s="37">
        <v>6</v>
      </c>
      <c r="E215" s="37">
        <v>0</v>
      </c>
      <c r="F215" s="37">
        <v>3</v>
      </c>
      <c r="G215" s="37"/>
      <c r="H215" s="40" t="s">
        <v>191</v>
      </c>
      <c r="I215" s="37" t="s">
        <v>21</v>
      </c>
      <c r="J215" s="88">
        <f aca="true" t="shared" si="68" ref="J215:V215">J216</f>
        <v>1242</v>
      </c>
      <c r="K215" s="88">
        <f t="shared" si="68"/>
        <v>1300</v>
      </c>
      <c r="L215" s="88">
        <f t="shared" si="68"/>
        <v>1046.8</v>
      </c>
      <c r="M215" s="88">
        <f t="shared" si="68"/>
        <v>1375.9</v>
      </c>
      <c r="N215" s="89">
        <v>1150.9</v>
      </c>
      <c r="O215" s="89">
        <v>1189.9</v>
      </c>
      <c r="P215" s="89">
        <f t="shared" si="68"/>
        <v>1189.9</v>
      </c>
      <c r="Q215" s="89">
        <v>1189.9</v>
      </c>
      <c r="R215" s="89">
        <f t="shared" si="68"/>
        <v>1189.9</v>
      </c>
      <c r="S215" s="89">
        <v>1189.9</v>
      </c>
      <c r="T215" s="89">
        <f t="shared" si="68"/>
        <v>1189.9</v>
      </c>
      <c r="U215" s="89">
        <v>1189.9</v>
      </c>
      <c r="V215" s="89">
        <f t="shared" si="68"/>
        <v>1189.9</v>
      </c>
      <c r="W215" s="88">
        <f t="shared" si="67"/>
        <v>10875.2</v>
      </c>
      <c r="X215" s="37">
        <v>2024</v>
      </c>
      <c r="Y215" s="140">
        <f t="shared" si="62"/>
        <v>0</v>
      </c>
      <c r="Z215" s="141">
        <f t="shared" si="63"/>
        <v>0</v>
      </c>
      <c r="AA215" s="140">
        <f t="shared" si="64"/>
        <v>0</v>
      </c>
      <c r="AB215" s="140">
        <f t="shared" si="65"/>
        <v>0</v>
      </c>
    </row>
    <row r="216" spans="1:28" s="2" customFormat="1" ht="12.75">
      <c r="A216" s="21" t="s">
        <v>19</v>
      </c>
      <c r="B216" s="22">
        <v>1</v>
      </c>
      <c r="C216" s="22">
        <v>1</v>
      </c>
      <c r="D216" s="22">
        <v>6</v>
      </c>
      <c r="E216" s="22">
        <v>0</v>
      </c>
      <c r="F216" s="22">
        <v>3</v>
      </c>
      <c r="G216" s="22">
        <v>3</v>
      </c>
      <c r="H216" s="26" t="s">
        <v>22</v>
      </c>
      <c r="I216" s="22" t="s">
        <v>21</v>
      </c>
      <c r="J216" s="64">
        <f>1144+98</f>
        <v>1242</v>
      </c>
      <c r="K216" s="64">
        <v>1300</v>
      </c>
      <c r="L216" s="64">
        <v>1046.8</v>
      </c>
      <c r="M216" s="65">
        <v>1375.9</v>
      </c>
      <c r="N216" s="91">
        <v>558.7</v>
      </c>
      <c r="O216" s="91">
        <v>1189.9</v>
      </c>
      <c r="P216" s="91">
        <v>1189.9</v>
      </c>
      <c r="Q216" s="65">
        <v>1189.9</v>
      </c>
      <c r="R216" s="65">
        <v>1189.9</v>
      </c>
      <c r="S216" s="65">
        <v>1189.9</v>
      </c>
      <c r="T216" s="65">
        <v>1189.9</v>
      </c>
      <c r="U216" s="65">
        <v>1189.9</v>
      </c>
      <c r="V216" s="65">
        <v>1189.9</v>
      </c>
      <c r="W216" s="64">
        <f t="shared" si="67"/>
        <v>10283</v>
      </c>
      <c r="X216" s="28">
        <v>2024</v>
      </c>
      <c r="Y216" s="140">
        <f t="shared" si="62"/>
        <v>0</v>
      </c>
      <c r="Z216" s="141">
        <f t="shared" si="63"/>
        <v>0</v>
      </c>
      <c r="AA216" s="140">
        <f t="shared" si="64"/>
        <v>0</v>
      </c>
      <c r="AB216" s="140">
        <f t="shared" si="65"/>
        <v>0</v>
      </c>
    </row>
    <row r="217" spans="1:28" s="2" customFormat="1" ht="12.75">
      <c r="A217" s="147" t="s">
        <v>19</v>
      </c>
      <c r="B217" s="148">
        <v>1</v>
      </c>
      <c r="C217" s="148">
        <v>1</v>
      </c>
      <c r="D217" s="22">
        <v>6</v>
      </c>
      <c r="E217" s="22">
        <v>0</v>
      </c>
      <c r="F217" s="22">
        <v>3</v>
      </c>
      <c r="G217" s="22">
        <v>2</v>
      </c>
      <c r="H217" s="26" t="s">
        <v>138</v>
      </c>
      <c r="I217" s="22" t="s">
        <v>21</v>
      </c>
      <c r="J217" s="64">
        <v>0</v>
      </c>
      <c r="K217" s="64">
        <v>0</v>
      </c>
      <c r="L217" s="64">
        <v>0</v>
      </c>
      <c r="M217" s="65">
        <v>0</v>
      </c>
      <c r="N217" s="91">
        <v>592.2</v>
      </c>
      <c r="O217" s="91">
        <v>0</v>
      </c>
      <c r="P217" s="91">
        <v>0</v>
      </c>
      <c r="Q217" s="65">
        <v>0</v>
      </c>
      <c r="R217" s="65">
        <v>0</v>
      </c>
      <c r="S217" s="65">
        <v>0</v>
      </c>
      <c r="T217" s="65">
        <v>0</v>
      </c>
      <c r="U217" s="65">
        <v>0</v>
      </c>
      <c r="V217" s="65">
        <v>0</v>
      </c>
      <c r="W217" s="64">
        <v>1236.4</v>
      </c>
      <c r="X217" s="28">
        <v>2020</v>
      </c>
      <c r="Y217" s="140">
        <f t="shared" si="62"/>
        <v>0</v>
      </c>
      <c r="Z217" s="141">
        <f t="shared" si="63"/>
        <v>0</v>
      </c>
      <c r="AA217" s="140">
        <f t="shared" si="64"/>
        <v>0</v>
      </c>
      <c r="AB217" s="140">
        <f t="shared" si="65"/>
        <v>0</v>
      </c>
    </row>
    <row r="218" spans="1:28" ht="51">
      <c r="A218" s="21" t="s">
        <v>19</v>
      </c>
      <c r="B218" s="22">
        <v>1</v>
      </c>
      <c r="C218" s="22">
        <v>1</v>
      </c>
      <c r="D218" s="22">
        <v>6</v>
      </c>
      <c r="E218" s="22">
        <v>0</v>
      </c>
      <c r="F218" s="22">
        <v>3</v>
      </c>
      <c r="G218" s="43"/>
      <c r="H218" s="46" t="s">
        <v>192</v>
      </c>
      <c r="I218" s="43" t="s">
        <v>57</v>
      </c>
      <c r="J218" s="93">
        <v>51</v>
      </c>
      <c r="K218" s="93">
        <v>51</v>
      </c>
      <c r="L218" s="93">
        <v>41</v>
      </c>
      <c r="M218" s="94">
        <v>46</v>
      </c>
      <c r="N218" s="95">
        <v>32</v>
      </c>
      <c r="O218" s="95">
        <v>55</v>
      </c>
      <c r="P218" s="95">
        <v>55</v>
      </c>
      <c r="Q218" s="95">
        <v>55</v>
      </c>
      <c r="R218" s="95">
        <v>55</v>
      </c>
      <c r="S218" s="95">
        <v>55</v>
      </c>
      <c r="T218" s="95">
        <v>55</v>
      </c>
      <c r="U218" s="95">
        <v>55</v>
      </c>
      <c r="V218" s="95">
        <v>55</v>
      </c>
      <c r="W218" s="93">
        <f>J218+K218+L218+M218+N218+P218+R218+T218+V218</f>
        <v>441</v>
      </c>
      <c r="X218" s="30">
        <v>2024</v>
      </c>
      <c r="Y218" s="140">
        <f t="shared" si="62"/>
        <v>0</v>
      </c>
      <c r="Z218" s="141">
        <f t="shared" si="63"/>
        <v>0</v>
      </c>
      <c r="AA218" s="140">
        <f t="shared" si="64"/>
        <v>0</v>
      </c>
      <c r="AB218" s="140">
        <f t="shared" si="65"/>
        <v>0</v>
      </c>
    </row>
    <row r="219" spans="1:28" ht="51">
      <c r="A219" s="21" t="s">
        <v>19</v>
      </c>
      <c r="B219" s="22">
        <v>1</v>
      </c>
      <c r="C219" s="22">
        <v>1</v>
      </c>
      <c r="D219" s="22">
        <v>6</v>
      </c>
      <c r="E219" s="22">
        <v>0</v>
      </c>
      <c r="F219" s="22">
        <v>3</v>
      </c>
      <c r="G219" s="43"/>
      <c r="H219" s="46" t="s">
        <v>193</v>
      </c>
      <c r="I219" s="43" t="s">
        <v>57</v>
      </c>
      <c r="J219" s="93">
        <v>82</v>
      </c>
      <c r="K219" s="93">
        <v>82</v>
      </c>
      <c r="L219" s="93">
        <v>83</v>
      </c>
      <c r="M219" s="94">
        <v>88</v>
      </c>
      <c r="N219" s="95">
        <v>28</v>
      </c>
      <c r="O219" s="95">
        <v>96</v>
      </c>
      <c r="P219" s="95">
        <v>96</v>
      </c>
      <c r="Q219" s="95">
        <v>96</v>
      </c>
      <c r="R219" s="95">
        <v>96</v>
      </c>
      <c r="S219" s="95">
        <v>96</v>
      </c>
      <c r="T219" s="95">
        <v>96</v>
      </c>
      <c r="U219" s="95">
        <v>96</v>
      </c>
      <c r="V219" s="95">
        <v>96</v>
      </c>
      <c r="W219" s="93">
        <f>J219+K219+L219+M219+N219+P219+R219+T219+V219</f>
        <v>747</v>
      </c>
      <c r="X219" s="30">
        <v>2024</v>
      </c>
      <c r="Y219" s="140">
        <f t="shared" si="62"/>
        <v>0</v>
      </c>
      <c r="Z219" s="141">
        <f t="shared" si="63"/>
        <v>0</v>
      </c>
      <c r="AA219" s="140">
        <f t="shared" si="64"/>
        <v>0</v>
      </c>
      <c r="AB219" s="140">
        <f t="shared" si="65"/>
        <v>0</v>
      </c>
    </row>
    <row r="220" spans="1:28" s="2" customFormat="1" ht="63.75">
      <c r="A220" s="36" t="s">
        <v>19</v>
      </c>
      <c r="B220" s="37">
        <v>1</v>
      </c>
      <c r="C220" s="37">
        <v>1</v>
      </c>
      <c r="D220" s="37">
        <v>6</v>
      </c>
      <c r="E220" s="37">
        <v>0</v>
      </c>
      <c r="F220" s="37">
        <v>4</v>
      </c>
      <c r="G220" s="37"/>
      <c r="H220" s="40" t="s">
        <v>194</v>
      </c>
      <c r="I220" s="37" t="s">
        <v>21</v>
      </c>
      <c r="J220" s="88">
        <f aca="true" t="shared" si="69" ref="J220:V220">J221</f>
        <v>984.7</v>
      </c>
      <c r="K220" s="88">
        <f t="shared" si="69"/>
        <v>1012.6</v>
      </c>
      <c r="L220" s="88">
        <f t="shared" si="69"/>
        <v>1015.8</v>
      </c>
      <c r="M220" s="88">
        <f t="shared" si="69"/>
        <v>820</v>
      </c>
      <c r="N220" s="89">
        <v>6344.9</v>
      </c>
      <c r="O220" s="89">
        <v>3609.4</v>
      </c>
      <c r="P220" s="90">
        <f>P221+P222</f>
        <v>4304.9</v>
      </c>
      <c r="Q220" s="89">
        <v>3524.4</v>
      </c>
      <c r="R220" s="89">
        <f t="shared" si="69"/>
        <v>3524.4</v>
      </c>
      <c r="S220" s="89">
        <v>3524.4</v>
      </c>
      <c r="T220" s="89">
        <f t="shared" si="69"/>
        <v>3524.4</v>
      </c>
      <c r="U220" s="89">
        <v>3524.4</v>
      </c>
      <c r="V220" s="89">
        <f t="shared" si="69"/>
        <v>3524.4</v>
      </c>
      <c r="W220" s="88">
        <f>J220+K220+L220+M220+N220+P220+R220+T220+V220</f>
        <v>25056.1</v>
      </c>
      <c r="X220" s="37">
        <v>2024</v>
      </c>
      <c r="Y220" s="140">
        <f t="shared" si="62"/>
        <v>695.5</v>
      </c>
      <c r="Z220" s="141">
        <f t="shared" si="63"/>
        <v>0</v>
      </c>
      <c r="AA220" s="140">
        <f t="shared" si="64"/>
        <v>0</v>
      </c>
      <c r="AB220" s="140">
        <f t="shared" si="65"/>
        <v>0</v>
      </c>
    </row>
    <row r="221" spans="1:28" s="2" customFormat="1" ht="12.75">
      <c r="A221" s="21" t="s">
        <v>19</v>
      </c>
      <c r="B221" s="22">
        <v>1</v>
      </c>
      <c r="C221" s="22">
        <v>1</v>
      </c>
      <c r="D221" s="22">
        <v>6</v>
      </c>
      <c r="E221" s="22">
        <v>0</v>
      </c>
      <c r="F221" s="22">
        <v>4</v>
      </c>
      <c r="G221" s="22">
        <v>3</v>
      </c>
      <c r="H221" s="26" t="s">
        <v>22</v>
      </c>
      <c r="I221" s="22" t="s">
        <v>21</v>
      </c>
      <c r="J221" s="64">
        <f>856+128.7</f>
        <v>984.7</v>
      </c>
      <c r="K221" s="64">
        <v>1012.6</v>
      </c>
      <c r="L221" s="64">
        <f>1015.9-0.1</f>
        <v>1015.8</v>
      </c>
      <c r="M221" s="65">
        <v>820</v>
      </c>
      <c r="N221" s="91">
        <v>4196.9</v>
      </c>
      <c r="O221" s="91">
        <v>3609.4</v>
      </c>
      <c r="P221" s="92">
        <v>4224.3</v>
      </c>
      <c r="Q221" s="65">
        <v>3524.4</v>
      </c>
      <c r="R221" s="65">
        <v>3524.4</v>
      </c>
      <c r="S221" s="65">
        <v>3524.4</v>
      </c>
      <c r="T221" s="65">
        <v>3524.4</v>
      </c>
      <c r="U221" s="65">
        <v>3524.4</v>
      </c>
      <c r="V221" s="65">
        <v>3524.4</v>
      </c>
      <c r="W221" s="64">
        <f>J221+K221+L221+M221+N221+P221+R221+T221+V221</f>
        <v>22827.5</v>
      </c>
      <c r="X221" s="28">
        <v>2024</v>
      </c>
      <c r="Y221" s="140">
        <f t="shared" si="62"/>
        <v>614.9</v>
      </c>
      <c r="Z221" s="141">
        <f t="shared" si="63"/>
        <v>0</v>
      </c>
      <c r="AA221" s="140">
        <f t="shared" si="64"/>
        <v>0</v>
      </c>
      <c r="AB221" s="140">
        <f t="shared" si="65"/>
        <v>0</v>
      </c>
    </row>
    <row r="222" spans="1:28" s="2" customFormat="1" ht="12.75">
      <c r="A222" s="147" t="s">
        <v>19</v>
      </c>
      <c r="B222" s="148">
        <v>1</v>
      </c>
      <c r="C222" s="148">
        <v>1</v>
      </c>
      <c r="D222" s="22">
        <v>6</v>
      </c>
      <c r="E222" s="22">
        <v>0</v>
      </c>
      <c r="F222" s="22">
        <v>4</v>
      </c>
      <c r="G222" s="22">
        <v>2</v>
      </c>
      <c r="H222" s="26" t="s">
        <v>138</v>
      </c>
      <c r="I222" s="22" t="s">
        <v>21</v>
      </c>
      <c r="J222" s="64">
        <v>0</v>
      </c>
      <c r="K222" s="64">
        <v>0</v>
      </c>
      <c r="L222" s="64">
        <v>0</v>
      </c>
      <c r="M222" s="65">
        <v>0</v>
      </c>
      <c r="N222" s="91">
        <v>2148</v>
      </c>
      <c r="O222" s="91">
        <v>0</v>
      </c>
      <c r="P222" s="92">
        <v>80.6</v>
      </c>
      <c r="Q222" s="65">
        <v>0</v>
      </c>
      <c r="R222" s="65">
        <v>0</v>
      </c>
      <c r="S222" s="65">
        <v>0</v>
      </c>
      <c r="T222" s="65">
        <v>0</v>
      </c>
      <c r="U222" s="65">
        <v>0</v>
      </c>
      <c r="V222" s="65">
        <v>0</v>
      </c>
      <c r="W222" s="126">
        <f>J222+K222+L222+M222+N222+P222+R222+T222+V222</f>
        <v>2228.6</v>
      </c>
      <c r="X222" s="133">
        <v>2021</v>
      </c>
      <c r="Y222" s="140">
        <f t="shared" si="62"/>
        <v>80.6</v>
      </c>
      <c r="Z222" s="141">
        <f t="shared" si="63"/>
        <v>0</v>
      </c>
      <c r="AA222" s="140">
        <f t="shared" si="64"/>
        <v>0</v>
      </c>
      <c r="AB222" s="140">
        <f t="shared" si="65"/>
        <v>0</v>
      </c>
    </row>
    <row r="223" spans="1:28" ht="38.25">
      <c r="A223" s="21" t="s">
        <v>19</v>
      </c>
      <c r="B223" s="22">
        <v>1</v>
      </c>
      <c r="C223" s="22">
        <v>1</v>
      </c>
      <c r="D223" s="22">
        <v>6</v>
      </c>
      <c r="E223" s="22">
        <v>0</v>
      </c>
      <c r="F223" s="22">
        <v>4</v>
      </c>
      <c r="G223" s="22"/>
      <c r="H223" s="46" t="s">
        <v>195</v>
      </c>
      <c r="I223" s="43" t="s">
        <v>57</v>
      </c>
      <c r="J223" s="93">
        <v>2</v>
      </c>
      <c r="K223" s="93">
        <f>2+1</f>
        <v>3</v>
      </c>
      <c r="L223" s="93">
        <v>2</v>
      </c>
      <c r="M223" s="94">
        <v>2</v>
      </c>
      <c r="N223" s="95">
        <v>2</v>
      </c>
      <c r="O223" s="95">
        <v>2</v>
      </c>
      <c r="P223" s="95">
        <v>2</v>
      </c>
      <c r="Q223" s="95">
        <v>2</v>
      </c>
      <c r="R223" s="95">
        <v>2</v>
      </c>
      <c r="S223" s="95">
        <v>2</v>
      </c>
      <c r="T223" s="95">
        <v>2</v>
      </c>
      <c r="U223" s="95">
        <v>2</v>
      </c>
      <c r="V223" s="95">
        <v>2</v>
      </c>
      <c r="W223" s="93">
        <v>3</v>
      </c>
      <c r="X223" s="30">
        <v>2024</v>
      </c>
      <c r="Y223" s="140">
        <f t="shared" si="62"/>
        <v>0</v>
      </c>
      <c r="Z223" s="141">
        <f t="shared" si="63"/>
        <v>0</v>
      </c>
      <c r="AA223" s="140">
        <f t="shared" si="64"/>
        <v>0</v>
      </c>
      <c r="AB223" s="140">
        <f t="shared" si="65"/>
        <v>0</v>
      </c>
    </row>
    <row r="224" spans="1:28" ht="38.25">
      <c r="A224" s="21" t="s">
        <v>19</v>
      </c>
      <c r="B224" s="22">
        <v>1</v>
      </c>
      <c r="C224" s="22">
        <v>1</v>
      </c>
      <c r="D224" s="22">
        <v>6</v>
      </c>
      <c r="E224" s="22">
        <v>0</v>
      </c>
      <c r="F224" s="22">
        <v>4</v>
      </c>
      <c r="G224" s="22"/>
      <c r="H224" s="46" t="s">
        <v>196</v>
      </c>
      <c r="I224" s="43" t="s">
        <v>57</v>
      </c>
      <c r="J224" s="93">
        <v>3</v>
      </c>
      <c r="K224" s="93">
        <v>3</v>
      </c>
      <c r="L224" s="93">
        <v>2</v>
      </c>
      <c r="M224" s="94">
        <v>2</v>
      </c>
      <c r="N224" s="95">
        <v>2</v>
      </c>
      <c r="O224" s="95">
        <v>2</v>
      </c>
      <c r="P224" s="95">
        <v>2</v>
      </c>
      <c r="Q224" s="95">
        <v>2</v>
      </c>
      <c r="R224" s="95">
        <v>2</v>
      </c>
      <c r="S224" s="95">
        <v>2</v>
      </c>
      <c r="T224" s="95">
        <v>2</v>
      </c>
      <c r="U224" s="95">
        <v>2</v>
      </c>
      <c r="V224" s="95">
        <v>2</v>
      </c>
      <c r="W224" s="93">
        <v>3</v>
      </c>
      <c r="X224" s="30">
        <v>2024</v>
      </c>
      <c r="Y224" s="140">
        <f t="shared" si="62"/>
        <v>0</v>
      </c>
      <c r="Z224" s="141">
        <f t="shared" si="63"/>
        <v>0</v>
      </c>
      <c r="AA224" s="140">
        <f t="shared" si="64"/>
        <v>0</v>
      </c>
      <c r="AB224" s="140">
        <f t="shared" si="65"/>
        <v>0</v>
      </c>
    </row>
    <row r="225" spans="1:28" s="2" customFormat="1" ht="25.5">
      <c r="A225" s="160" t="s">
        <v>19</v>
      </c>
      <c r="B225" s="34">
        <v>1</v>
      </c>
      <c r="C225" s="34">
        <v>1</v>
      </c>
      <c r="D225" s="34">
        <v>7</v>
      </c>
      <c r="E225" s="34">
        <v>0</v>
      </c>
      <c r="F225" s="34">
        <v>0</v>
      </c>
      <c r="G225" s="34"/>
      <c r="H225" s="35" t="s">
        <v>197</v>
      </c>
      <c r="I225" s="34" t="s">
        <v>21</v>
      </c>
      <c r="J225" s="81">
        <f>J227+J226</f>
        <v>690.3</v>
      </c>
      <c r="K225" s="81">
        <f>K227+K226</f>
        <v>921.3</v>
      </c>
      <c r="L225" s="81">
        <f>L227+L226</f>
        <v>699.3</v>
      </c>
      <c r="M225" s="81">
        <f aca="true" t="shared" si="70" ref="M225:V225">M226+M227</f>
        <v>729.6</v>
      </c>
      <c r="N225" s="81">
        <v>250.7</v>
      </c>
      <c r="O225" s="81">
        <v>781.8</v>
      </c>
      <c r="P225" s="242">
        <f t="shared" si="70"/>
        <v>781.8</v>
      </c>
      <c r="Q225" s="242">
        <v>781.8</v>
      </c>
      <c r="R225" s="242">
        <f t="shared" si="70"/>
        <v>781.8</v>
      </c>
      <c r="S225" s="242">
        <v>781.8</v>
      </c>
      <c r="T225" s="242">
        <f t="shared" si="70"/>
        <v>781.8</v>
      </c>
      <c r="U225" s="242">
        <v>781.8</v>
      </c>
      <c r="V225" s="242">
        <f t="shared" si="70"/>
        <v>781.8</v>
      </c>
      <c r="W225" s="81">
        <f>J225+K225+L225+M225+N225+P225+R225+T225+V225</f>
        <v>6418.4</v>
      </c>
      <c r="X225" s="34">
        <v>2024</v>
      </c>
      <c r="Y225" s="140">
        <f t="shared" si="62"/>
        <v>0</v>
      </c>
      <c r="Z225" s="141">
        <f t="shared" si="63"/>
        <v>0</v>
      </c>
      <c r="AA225" s="140">
        <f t="shared" si="64"/>
        <v>0</v>
      </c>
      <c r="AB225" s="140">
        <f t="shared" si="65"/>
        <v>0</v>
      </c>
    </row>
    <row r="226" spans="1:28" s="2" customFormat="1" ht="12.75">
      <c r="A226" s="21" t="s">
        <v>19</v>
      </c>
      <c r="B226" s="22">
        <v>1</v>
      </c>
      <c r="C226" s="22">
        <v>1</v>
      </c>
      <c r="D226" s="22">
        <v>7</v>
      </c>
      <c r="E226" s="22">
        <v>0</v>
      </c>
      <c r="F226" s="22">
        <v>0</v>
      </c>
      <c r="G226" s="22">
        <v>3</v>
      </c>
      <c r="H226" s="26" t="s">
        <v>22</v>
      </c>
      <c r="I226" s="22" t="s">
        <v>21</v>
      </c>
      <c r="J226" s="64">
        <f aca="true" t="shared" si="71" ref="J226:L227">J235</f>
        <v>690.3</v>
      </c>
      <c r="K226" s="64">
        <f t="shared" si="71"/>
        <v>595.5</v>
      </c>
      <c r="L226" s="64">
        <f t="shared" si="71"/>
        <v>699.3</v>
      </c>
      <c r="M226" s="65">
        <f aca="true" t="shared" si="72" ref="M226:V226">M235</f>
        <v>729.6</v>
      </c>
      <c r="N226" s="65">
        <v>250.7</v>
      </c>
      <c r="O226" s="65">
        <v>781.8</v>
      </c>
      <c r="P226" s="66">
        <f t="shared" si="72"/>
        <v>781.8</v>
      </c>
      <c r="Q226" s="66">
        <v>781.8</v>
      </c>
      <c r="R226" s="66">
        <f t="shared" si="72"/>
        <v>781.8</v>
      </c>
      <c r="S226" s="66">
        <v>781.8</v>
      </c>
      <c r="T226" s="66">
        <f t="shared" si="72"/>
        <v>781.8</v>
      </c>
      <c r="U226" s="66">
        <v>781.8</v>
      </c>
      <c r="V226" s="66">
        <f t="shared" si="72"/>
        <v>781.8</v>
      </c>
      <c r="W226" s="64">
        <f>J226+K226+L226+M226+N226+P226+R226+T226+V226</f>
        <v>6092.6</v>
      </c>
      <c r="X226" s="28">
        <v>2024</v>
      </c>
      <c r="Y226" s="140">
        <f t="shared" si="62"/>
        <v>0</v>
      </c>
      <c r="Z226" s="141">
        <f t="shared" si="63"/>
        <v>0</v>
      </c>
      <c r="AA226" s="140">
        <f t="shared" si="64"/>
        <v>0</v>
      </c>
      <c r="AB226" s="140">
        <f t="shared" si="65"/>
        <v>0</v>
      </c>
    </row>
    <row r="227" spans="1:28" s="2" customFormat="1" ht="12.75">
      <c r="A227" s="21" t="s">
        <v>19</v>
      </c>
      <c r="B227" s="22">
        <v>1</v>
      </c>
      <c r="C227" s="22">
        <v>1</v>
      </c>
      <c r="D227" s="22">
        <v>7</v>
      </c>
      <c r="E227" s="22">
        <v>0</v>
      </c>
      <c r="F227" s="22">
        <v>0</v>
      </c>
      <c r="G227" s="22">
        <v>2</v>
      </c>
      <c r="H227" s="26" t="s">
        <v>23</v>
      </c>
      <c r="I227" s="22" t="s">
        <v>21</v>
      </c>
      <c r="J227" s="64">
        <f t="shared" si="71"/>
        <v>0</v>
      </c>
      <c r="K227" s="64">
        <f t="shared" si="71"/>
        <v>325.8</v>
      </c>
      <c r="L227" s="64">
        <f t="shared" si="71"/>
        <v>0</v>
      </c>
      <c r="M227" s="65">
        <v>0</v>
      </c>
      <c r="N227" s="91">
        <v>0</v>
      </c>
      <c r="O227" s="91">
        <v>0</v>
      </c>
      <c r="P227" s="243">
        <v>0</v>
      </c>
      <c r="Q227" s="66">
        <v>0</v>
      </c>
      <c r="R227" s="66">
        <v>0</v>
      </c>
      <c r="S227" s="66">
        <v>0</v>
      </c>
      <c r="T227" s="66">
        <f>T236</f>
        <v>0</v>
      </c>
      <c r="U227" s="66">
        <v>0</v>
      </c>
      <c r="V227" s="66">
        <f>V236</f>
        <v>0</v>
      </c>
      <c r="W227" s="64">
        <f>J227+K227+L227+M227+N227+P227+R227+T227+V227</f>
        <v>325.8</v>
      </c>
      <c r="X227" s="28">
        <v>2017</v>
      </c>
      <c r="Y227" s="140">
        <f t="shared" si="62"/>
        <v>0</v>
      </c>
      <c r="Z227" s="141">
        <f t="shared" si="63"/>
        <v>0</v>
      </c>
      <c r="AA227" s="140">
        <f t="shared" si="64"/>
        <v>0</v>
      </c>
      <c r="AB227" s="140">
        <f t="shared" si="65"/>
        <v>0</v>
      </c>
    </row>
    <row r="228" spans="1:28" ht="38.25">
      <c r="A228" s="21" t="s">
        <v>19</v>
      </c>
      <c r="B228" s="22">
        <v>1</v>
      </c>
      <c r="C228" s="22">
        <v>1</v>
      </c>
      <c r="D228" s="22">
        <v>7</v>
      </c>
      <c r="E228" s="22">
        <v>0</v>
      </c>
      <c r="F228" s="22">
        <v>0</v>
      </c>
      <c r="G228" s="43"/>
      <c r="H228" s="44" t="s">
        <v>198</v>
      </c>
      <c r="I228" s="43" t="s">
        <v>48</v>
      </c>
      <c r="J228" s="93">
        <v>1942</v>
      </c>
      <c r="K228" s="93">
        <v>2195</v>
      </c>
      <c r="L228" s="93">
        <v>2502</v>
      </c>
      <c r="M228" s="94">
        <v>2597</v>
      </c>
      <c r="N228" s="190">
        <v>2600</v>
      </c>
      <c r="O228" s="190">
        <v>2610</v>
      </c>
      <c r="P228" s="244">
        <v>2610</v>
      </c>
      <c r="Q228" s="244">
        <v>2615</v>
      </c>
      <c r="R228" s="244">
        <v>2615</v>
      </c>
      <c r="S228" s="244">
        <v>2615</v>
      </c>
      <c r="T228" s="244">
        <v>2615</v>
      </c>
      <c r="U228" s="244">
        <v>2615</v>
      </c>
      <c r="V228" s="244">
        <v>2615</v>
      </c>
      <c r="W228" s="93">
        <f>J228+K228+L228+M228+N228+P228+R228+T228+V228</f>
        <v>22291</v>
      </c>
      <c r="X228" s="30">
        <v>2024</v>
      </c>
      <c r="Y228" s="140">
        <f t="shared" si="62"/>
        <v>0</v>
      </c>
      <c r="Z228" s="141">
        <f t="shared" si="63"/>
        <v>0</v>
      </c>
      <c r="AA228" s="140">
        <f t="shared" si="64"/>
        <v>0</v>
      </c>
      <c r="AB228" s="140">
        <f t="shared" si="65"/>
        <v>0</v>
      </c>
    </row>
    <row r="229" spans="1:28" ht="38.25">
      <c r="A229" s="21" t="s">
        <v>19</v>
      </c>
      <c r="B229" s="22">
        <v>1</v>
      </c>
      <c r="C229" s="22">
        <v>1</v>
      </c>
      <c r="D229" s="22">
        <v>7</v>
      </c>
      <c r="E229" s="22">
        <v>0</v>
      </c>
      <c r="F229" s="22">
        <v>0</v>
      </c>
      <c r="G229" s="43"/>
      <c r="H229" s="44" t="s">
        <v>199</v>
      </c>
      <c r="I229" s="43" t="s">
        <v>28</v>
      </c>
      <c r="J229" s="70">
        <v>100</v>
      </c>
      <c r="K229" s="70">
        <v>100</v>
      </c>
      <c r="L229" s="70">
        <v>100</v>
      </c>
      <c r="M229" s="71">
        <v>100</v>
      </c>
      <c r="N229" s="217">
        <v>100</v>
      </c>
      <c r="O229" s="217">
        <v>100</v>
      </c>
      <c r="P229" s="245">
        <v>100</v>
      </c>
      <c r="Q229" s="245">
        <v>100</v>
      </c>
      <c r="R229" s="245">
        <v>100</v>
      </c>
      <c r="S229" s="245">
        <v>100</v>
      </c>
      <c r="T229" s="245">
        <v>100</v>
      </c>
      <c r="U229" s="245">
        <v>100</v>
      </c>
      <c r="V229" s="245">
        <v>100</v>
      </c>
      <c r="W229" s="70">
        <v>100</v>
      </c>
      <c r="X229" s="30">
        <v>2024</v>
      </c>
      <c r="Y229" s="140">
        <f t="shared" si="62"/>
        <v>0</v>
      </c>
      <c r="Z229" s="141">
        <f t="shared" si="63"/>
        <v>0</v>
      </c>
      <c r="AA229" s="140">
        <f t="shared" si="64"/>
        <v>0</v>
      </c>
      <c r="AB229" s="140">
        <f t="shared" si="65"/>
        <v>0</v>
      </c>
    </row>
    <row r="230" spans="1:28" ht="51">
      <c r="A230" s="21" t="s">
        <v>19</v>
      </c>
      <c r="B230" s="22">
        <v>1</v>
      </c>
      <c r="C230" s="22">
        <v>1</v>
      </c>
      <c r="D230" s="22">
        <v>7</v>
      </c>
      <c r="E230" s="22">
        <v>0</v>
      </c>
      <c r="F230" s="22">
        <v>0</v>
      </c>
      <c r="G230" s="43"/>
      <c r="H230" s="44" t="s">
        <v>200</v>
      </c>
      <c r="I230" s="43" t="s">
        <v>28</v>
      </c>
      <c r="J230" s="120">
        <v>0</v>
      </c>
      <c r="K230" s="120">
        <v>0</v>
      </c>
      <c r="L230" s="120">
        <v>0</v>
      </c>
      <c r="M230" s="72">
        <v>7.5</v>
      </c>
      <c r="N230" s="72">
        <v>7.7</v>
      </c>
      <c r="O230" s="72">
        <v>8.1</v>
      </c>
      <c r="P230" s="86">
        <v>8.1</v>
      </c>
      <c r="Q230" s="86">
        <v>8.1</v>
      </c>
      <c r="R230" s="86">
        <v>8.1</v>
      </c>
      <c r="S230" s="86">
        <v>8.1</v>
      </c>
      <c r="T230" s="86">
        <v>8.1</v>
      </c>
      <c r="U230" s="86">
        <v>8.2</v>
      </c>
      <c r="V230" s="86">
        <v>8.2</v>
      </c>
      <c r="W230" s="120">
        <v>8.2</v>
      </c>
      <c r="X230" s="43">
        <v>2024</v>
      </c>
      <c r="Y230" s="140">
        <f t="shared" si="62"/>
        <v>0</v>
      </c>
      <c r="Z230" s="141">
        <f t="shared" si="63"/>
        <v>0</v>
      </c>
      <c r="AA230" s="140">
        <f t="shared" si="64"/>
        <v>0</v>
      </c>
      <c r="AB230" s="140">
        <f t="shared" si="65"/>
        <v>0</v>
      </c>
    </row>
    <row r="231" spans="1:28" ht="38.25">
      <c r="A231" s="36" t="s">
        <v>19</v>
      </c>
      <c r="B231" s="37">
        <v>1</v>
      </c>
      <c r="C231" s="37">
        <v>1</v>
      </c>
      <c r="D231" s="37">
        <v>7</v>
      </c>
      <c r="E231" s="37">
        <v>0</v>
      </c>
      <c r="F231" s="37">
        <v>1</v>
      </c>
      <c r="G231" s="38"/>
      <c r="H231" s="39" t="s">
        <v>201</v>
      </c>
      <c r="I231" s="38" t="s">
        <v>43</v>
      </c>
      <c r="J231" s="87" t="s">
        <v>44</v>
      </c>
      <c r="K231" s="87" t="s">
        <v>44</v>
      </c>
      <c r="L231" s="87" t="s">
        <v>44</v>
      </c>
      <c r="M231" s="87" t="s">
        <v>44</v>
      </c>
      <c r="N231" s="87" t="s">
        <v>44</v>
      </c>
      <c r="O231" s="87" t="s">
        <v>44</v>
      </c>
      <c r="P231" s="246" t="s">
        <v>44</v>
      </c>
      <c r="Q231" s="246" t="s">
        <v>44</v>
      </c>
      <c r="R231" s="246" t="s">
        <v>44</v>
      </c>
      <c r="S231" s="246" t="s">
        <v>44</v>
      </c>
      <c r="T231" s="246" t="s">
        <v>44</v>
      </c>
      <c r="U231" s="246" t="s">
        <v>44</v>
      </c>
      <c r="V231" s="246" t="s">
        <v>44</v>
      </c>
      <c r="W231" s="87" t="s">
        <v>44</v>
      </c>
      <c r="X231" s="38">
        <v>2024</v>
      </c>
      <c r="Y231" s="140"/>
      <c r="Z231" s="141"/>
      <c r="AA231" s="140"/>
      <c r="AB231" s="140"/>
    </row>
    <row r="232" spans="1:28" ht="38.25">
      <c r="A232" s="21" t="s">
        <v>19</v>
      </c>
      <c r="B232" s="22">
        <v>1</v>
      </c>
      <c r="C232" s="22">
        <v>1</v>
      </c>
      <c r="D232" s="22">
        <v>7</v>
      </c>
      <c r="E232" s="22">
        <v>0</v>
      </c>
      <c r="F232" s="22">
        <v>1</v>
      </c>
      <c r="G232" s="43"/>
      <c r="H232" s="46" t="s">
        <v>202</v>
      </c>
      <c r="I232" s="43" t="s">
        <v>57</v>
      </c>
      <c r="J232" s="93">
        <v>43</v>
      </c>
      <c r="K232" s="93">
        <v>44</v>
      </c>
      <c r="L232" s="93">
        <v>44</v>
      </c>
      <c r="M232" s="94">
        <v>44</v>
      </c>
      <c r="N232" s="95">
        <v>44</v>
      </c>
      <c r="O232" s="95">
        <v>44</v>
      </c>
      <c r="P232" s="247">
        <v>44</v>
      </c>
      <c r="Q232" s="247">
        <v>44</v>
      </c>
      <c r="R232" s="247">
        <v>44</v>
      </c>
      <c r="S232" s="247">
        <v>44</v>
      </c>
      <c r="T232" s="247">
        <v>44</v>
      </c>
      <c r="U232" s="247">
        <v>44</v>
      </c>
      <c r="V232" s="247">
        <v>44</v>
      </c>
      <c r="W232" s="93">
        <f>J232+K232+L232+M232+N232+P232+R232+T232+V232</f>
        <v>395</v>
      </c>
      <c r="X232" s="30">
        <v>2024</v>
      </c>
      <c r="Y232" s="140">
        <f aca="true" t="shared" si="73" ref="Y232:Y246">P232-O232</f>
        <v>0</v>
      </c>
      <c r="Z232" s="141">
        <f aca="true" t="shared" si="74" ref="Z232:Z246">R232-Q232</f>
        <v>0</v>
      </c>
      <c r="AA232" s="140">
        <f aca="true" t="shared" si="75" ref="AA232:AA246">T232-S232</f>
        <v>0</v>
      </c>
      <c r="AB232" s="140">
        <f aca="true" t="shared" si="76" ref="AB232:AB246">V232-U232</f>
        <v>0</v>
      </c>
    </row>
    <row r="233" spans="1:28" ht="51">
      <c r="A233" s="21" t="s">
        <v>19</v>
      </c>
      <c r="B233" s="22">
        <v>1</v>
      </c>
      <c r="C233" s="22">
        <v>1</v>
      </c>
      <c r="D233" s="22">
        <v>7</v>
      </c>
      <c r="E233" s="22">
        <v>0</v>
      </c>
      <c r="F233" s="22">
        <v>1</v>
      </c>
      <c r="G233" s="43"/>
      <c r="H233" s="46" t="s">
        <v>203</v>
      </c>
      <c r="I233" s="43" t="s">
        <v>57</v>
      </c>
      <c r="J233" s="93">
        <v>29</v>
      </c>
      <c r="K233" s="93">
        <v>28</v>
      </c>
      <c r="L233" s="93">
        <v>28</v>
      </c>
      <c r="M233" s="94">
        <v>28</v>
      </c>
      <c r="N233" s="95">
        <v>28</v>
      </c>
      <c r="O233" s="95">
        <v>28</v>
      </c>
      <c r="P233" s="247">
        <v>28</v>
      </c>
      <c r="Q233" s="247">
        <v>28</v>
      </c>
      <c r="R233" s="247">
        <v>28</v>
      </c>
      <c r="S233" s="247">
        <v>28</v>
      </c>
      <c r="T233" s="247">
        <v>28</v>
      </c>
      <c r="U233" s="247">
        <v>28</v>
      </c>
      <c r="V233" s="247">
        <v>28</v>
      </c>
      <c r="W233" s="93">
        <v>28</v>
      </c>
      <c r="X233" s="30">
        <v>2024</v>
      </c>
      <c r="Y233" s="140">
        <f t="shared" si="73"/>
        <v>0</v>
      </c>
      <c r="Z233" s="141">
        <f t="shared" si="74"/>
        <v>0</v>
      </c>
      <c r="AA233" s="140">
        <f t="shared" si="75"/>
        <v>0</v>
      </c>
      <c r="AB233" s="140">
        <f t="shared" si="76"/>
        <v>0</v>
      </c>
    </row>
    <row r="234" spans="1:28" s="2" customFormat="1" ht="63.75">
      <c r="A234" s="36" t="s">
        <v>19</v>
      </c>
      <c r="B234" s="37">
        <v>1</v>
      </c>
      <c r="C234" s="37">
        <v>1</v>
      </c>
      <c r="D234" s="37">
        <v>7</v>
      </c>
      <c r="E234" s="37">
        <v>0</v>
      </c>
      <c r="F234" s="37">
        <v>2</v>
      </c>
      <c r="G234" s="37"/>
      <c r="H234" s="40" t="s">
        <v>204</v>
      </c>
      <c r="I234" s="37" t="s">
        <v>21</v>
      </c>
      <c r="J234" s="88">
        <f>J235+J236</f>
        <v>690.3</v>
      </c>
      <c r="K234" s="88">
        <f>K235+K236</f>
        <v>921.3</v>
      </c>
      <c r="L234" s="88">
        <f>L235+L236</f>
        <v>699.3</v>
      </c>
      <c r="M234" s="88">
        <f aca="true" t="shared" si="77" ref="M234:V234">M235+M236</f>
        <v>729.6</v>
      </c>
      <c r="N234" s="88">
        <v>250.7</v>
      </c>
      <c r="O234" s="88">
        <v>781.8</v>
      </c>
      <c r="P234" s="88">
        <f t="shared" si="77"/>
        <v>781.8</v>
      </c>
      <c r="Q234" s="88">
        <v>781.8</v>
      </c>
      <c r="R234" s="88">
        <f t="shared" si="77"/>
        <v>781.8</v>
      </c>
      <c r="S234" s="88">
        <v>781.8</v>
      </c>
      <c r="T234" s="88">
        <f t="shared" si="77"/>
        <v>781.8</v>
      </c>
      <c r="U234" s="88">
        <v>781.8</v>
      </c>
      <c r="V234" s="88">
        <f t="shared" si="77"/>
        <v>781.8</v>
      </c>
      <c r="W234" s="88">
        <f>J234+K234+L234+M234+N234+P234+R234+T234+V234</f>
        <v>6418.4</v>
      </c>
      <c r="X234" s="37">
        <v>2024</v>
      </c>
      <c r="Y234" s="140">
        <f t="shared" si="73"/>
        <v>0</v>
      </c>
      <c r="Z234" s="141">
        <f t="shared" si="74"/>
        <v>0</v>
      </c>
      <c r="AA234" s="140">
        <f t="shared" si="75"/>
        <v>0</v>
      </c>
      <c r="AB234" s="140">
        <f t="shared" si="76"/>
        <v>0</v>
      </c>
    </row>
    <row r="235" spans="1:28" s="2" customFormat="1" ht="12.75">
      <c r="A235" s="21" t="s">
        <v>19</v>
      </c>
      <c r="B235" s="22">
        <v>1</v>
      </c>
      <c r="C235" s="22">
        <v>1</v>
      </c>
      <c r="D235" s="22">
        <v>7</v>
      </c>
      <c r="E235" s="22">
        <v>0</v>
      </c>
      <c r="F235" s="22">
        <v>2</v>
      </c>
      <c r="G235" s="22">
        <v>3</v>
      </c>
      <c r="H235" s="26" t="s">
        <v>22</v>
      </c>
      <c r="I235" s="22" t="s">
        <v>21</v>
      </c>
      <c r="J235" s="64">
        <f>670+20.3</f>
        <v>690.3</v>
      </c>
      <c r="K235" s="64">
        <v>595.5</v>
      </c>
      <c r="L235" s="64">
        <v>699.3</v>
      </c>
      <c r="M235" s="65">
        <v>729.6</v>
      </c>
      <c r="N235" s="91">
        <v>250.7</v>
      </c>
      <c r="O235" s="91">
        <v>781.8</v>
      </c>
      <c r="P235" s="91">
        <v>781.8</v>
      </c>
      <c r="Q235" s="91">
        <v>781.8</v>
      </c>
      <c r="R235" s="91">
        <v>781.8</v>
      </c>
      <c r="S235" s="91">
        <v>781.8</v>
      </c>
      <c r="T235" s="91">
        <v>781.8</v>
      </c>
      <c r="U235" s="91">
        <v>781.8</v>
      </c>
      <c r="V235" s="91">
        <v>781.8</v>
      </c>
      <c r="W235" s="64">
        <f>J235+K235+L235+M235+N235+P235+R235+T235+V235</f>
        <v>6092.6</v>
      </c>
      <c r="X235" s="28">
        <v>2024</v>
      </c>
      <c r="Y235" s="140">
        <f t="shared" si="73"/>
        <v>0</v>
      </c>
      <c r="Z235" s="141">
        <f t="shared" si="74"/>
        <v>0</v>
      </c>
      <c r="AA235" s="140">
        <f t="shared" si="75"/>
        <v>0</v>
      </c>
      <c r="AB235" s="140">
        <f t="shared" si="76"/>
        <v>0</v>
      </c>
    </row>
    <row r="236" spans="1:28" s="2" customFormat="1" ht="12.75">
      <c r="A236" s="21" t="s">
        <v>19</v>
      </c>
      <c r="B236" s="22">
        <v>1</v>
      </c>
      <c r="C236" s="22">
        <v>1</v>
      </c>
      <c r="D236" s="22">
        <v>7</v>
      </c>
      <c r="E236" s="22">
        <v>0</v>
      </c>
      <c r="F236" s="22">
        <v>2</v>
      </c>
      <c r="G236" s="22">
        <v>2</v>
      </c>
      <c r="H236" s="26" t="s">
        <v>23</v>
      </c>
      <c r="I236" s="22" t="s">
        <v>21</v>
      </c>
      <c r="J236" s="64">
        <v>0</v>
      </c>
      <c r="K236" s="64">
        <v>325.8</v>
      </c>
      <c r="L236" s="64">
        <v>0</v>
      </c>
      <c r="M236" s="65">
        <v>0</v>
      </c>
      <c r="N236" s="91">
        <v>0</v>
      </c>
      <c r="O236" s="91">
        <v>0</v>
      </c>
      <c r="P236" s="91">
        <v>0</v>
      </c>
      <c r="Q236" s="91">
        <v>0</v>
      </c>
      <c r="R236" s="91">
        <v>0</v>
      </c>
      <c r="S236" s="91">
        <v>0</v>
      </c>
      <c r="T236" s="91">
        <v>0</v>
      </c>
      <c r="U236" s="91">
        <v>0</v>
      </c>
      <c r="V236" s="91">
        <v>0</v>
      </c>
      <c r="W236" s="64">
        <f>J236+K236+L236+M236+N236+P236+R236+T236+V236</f>
        <v>325.8</v>
      </c>
      <c r="X236" s="28">
        <v>2017</v>
      </c>
      <c r="Y236" s="140">
        <f t="shared" si="73"/>
        <v>0</v>
      </c>
      <c r="Z236" s="141">
        <f t="shared" si="74"/>
        <v>0</v>
      </c>
      <c r="AA236" s="140">
        <f t="shared" si="75"/>
        <v>0</v>
      </c>
      <c r="AB236" s="140">
        <f t="shared" si="76"/>
        <v>0</v>
      </c>
    </row>
    <row r="237" spans="1:28" ht="38.25">
      <c r="A237" s="21" t="s">
        <v>19</v>
      </c>
      <c r="B237" s="22">
        <v>1</v>
      </c>
      <c r="C237" s="22">
        <v>1</v>
      </c>
      <c r="D237" s="22">
        <v>7</v>
      </c>
      <c r="E237" s="22">
        <v>0</v>
      </c>
      <c r="F237" s="22">
        <v>2</v>
      </c>
      <c r="G237" s="43"/>
      <c r="H237" s="44" t="s">
        <v>205</v>
      </c>
      <c r="I237" s="43" t="s">
        <v>57</v>
      </c>
      <c r="J237" s="93">
        <v>40</v>
      </c>
      <c r="K237" s="93">
        <v>39</v>
      </c>
      <c r="L237" s="93">
        <v>34</v>
      </c>
      <c r="M237" s="94">
        <v>34</v>
      </c>
      <c r="N237" s="95">
        <v>34</v>
      </c>
      <c r="O237" s="95">
        <v>34</v>
      </c>
      <c r="P237" s="95">
        <v>34</v>
      </c>
      <c r="Q237" s="94">
        <v>34</v>
      </c>
      <c r="R237" s="94">
        <v>34</v>
      </c>
      <c r="S237" s="94">
        <v>34</v>
      </c>
      <c r="T237" s="94">
        <v>34</v>
      </c>
      <c r="U237" s="94">
        <v>34</v>
      </c>
      <c r="V237" s="94">
        <v>34</v>
      </c>
      <c r="W237" s="250">
        <f>(J237+K237+L237+M237+N237+P237+R237+T237+V237)/9</f>
        <v>35</v>
      </c>
      <c r="X237" s="30">
        <v>2024</v>
      </c>
      <c r="Y237" s="140">
        <f t="shared" si="73"/>
        <v>0</v>
      </c>
      <c r="Z237" s="141">
        <f t="shared" si="74"/>
        <v>0</v>
      </c>
      <c r="AA237" s="140">
        <f t="shared" si="75"/>
        <v>0</v>
      </c>
      <c r="AB237" s="140">
        <f t="shared" si="76"/>
        <v>0</v>
      </c>
    </row>
    <row r="238" spans="1:28" ht="38.25">
      <c r="A238" s="21" t="s">
        <v>19</v>
      </c>
      <c r="B238" s="22">
        <v>1</v>
      </c>
      <c r="C238" s="22">
        <v>1</v>
      </c>
      <c r="D238" s="22">
        <v>7</v>
      </c>
      <c r="E238" s="22">
        <v>0</v>
      </c>
      <c r="F238" s="22">
        <v>2</v>
      </c>
      <c r="G238" s="43"/>
      <c r="H238" s="44" t="s">
        <v>206</v>
      </c>
      <c r="I238" s="43" t="s">
        <v>48</v>
      </c>
      <c r="J238" s="93">
        <v>190</v>
      </c>
      <c r="K238" s="93">
        <v>195</v>
      </c>
      <c r="L238" s="93">
        <v>252</v>
      </c>
      <c r="M238" s="190">
        <v>209</v>
      </c>
      <c r="N238" s="190">
        <v>1</v>
      </c>
      <c r="O238" s="190">
        <v>215</v>
      </c>
      <c r="P238" s="190">
        <v>215</v>
      </c>
      <c r="Q238" s="190">
        <v>215</v>
      </c>
      <c r="R238" s="190">
        <v>215</v>
      </c>
      <c r="S238" s="190">
        <v>215</v>
      </c>
      <c r="T238" s="190">
        <v>215</v>
      </c>
      <c r="U238" s="190">
        <v>215</v>
      </c>
      <c r="V238" s="190">
        <v>215</v>
      </c>
      <c r="W238" s="250">
        <f aca="true" t="shared" si="78" ref="W238:W243">J238+K238+L238+M238+N238+P238+R238+T238+V238</f>
        <v>1707</v>
      </c>
      <c r="X238" s="30">
        <v>2024</v>
      </c>
      <c r="Y238" s="140">
        <f t="shared" si="73"/>
        <v>0</v>
      </c>
      <c r="Z238" s="141">
        <f t="shared" si="74"/>
        <v>0</v>
      </c>
      <c r="AA238" s="140">
        <f t="shared" si="75"/>
        <v>0</v>
      </c>
      <c r="AB238" s="140">
        <f t="shared" si="76"/>
        <v>0</v>
      </c>
    </row>
    <row r="239" spans="1:28" ht="25.5">
      <c r="A239" s="21" t="s">
        <v>19</v>
      </c>
      <c r="B239" s="22">
        <v>1</v>
      </c>
      <c r="C239" s="22">
        <v>1</v>
      </c>
      <c r="D239" s="22">
        <v>7</v>
      </c>
      <c r="E239" s="22">
        <v>0</v>
      </c>
      <c r="F239" s="22">
        <v>2</v>
      </c>
      <c r="G239" s="43"/>
      <c r="H239" s="46" t="s">
        <v>207</v>
      </c>
      <c r="I239" s="43" t="s">
        <v>48</v>
      </c>
      <c r="J239" s="93">
        <v>70</v>
      </c>
      <c r="K239" s="93">
        <v>75</v>
      </c>
      <c r="L239" s="93">
        <v>180</v>
      </c>
      <c r="M239" s="190">
        <v>241</v>
      </c>
      <c r="N239" s="190">
        <v>245</v>
      </c>
      <c r="O239" s="190">
        <v>250</v>
      </c>
      <c r="P239" s="190">
        <v>250</v>
      </c>
      <c r="Q239" s="190">
        <v>255</v>
      </c>
      <c r="R239" s="190">
        <v>255</v>
      </c>
      <c r="S239" s="190">
        <v>255</v>
      </c>
      <c r="T239" s="190">
        <v>255</v>
      </c>
      <c r="U239" s="190">
        <v>255</v>
      </c>
      <c r="V239" s="190">
        <v>255</v>
      </c>
      <c r="W239" s="250">
        <f t="shared" si="78"/>
        <v>1826</v>
      </c>
      <c r="X239" s="30">
        <v>2024</v>
      </c>
      <c r="Y239" s="140">
        <f t="shared" si="73"/>
        <v>0</v>
      </c>
      <c r="Z239" s="141">
        <f t="shared" si="74"/>
        <v>0</v>
      </c>
      <c r="AA239" s="140">
        <f t="shared" si="75"/>
        <v>0</v>
      </c>
      <c r="AB239" s="140">
        <f t="shared" si="76"/>
        <v>0</v>
      </c>
    </row>
    <row r="240" spans="1:28" ht="38.25">
      <c r="A240" s="21" t="s">
        <v>19</v>
      </c>
      <c r="B240" s="22">
        <v>1</v>
      </c>
      <c r="C240" s="22">
        <v>1</v>
      </c>
      <c r="D240" s="22">
        <v>7</v>
      </c>
      <c r="E240" s="22">
        <v>0</v>
      </c>
      <c r="F240" s="22">
        <v>2</v>
      </c>
      <c r="G240" s="43"/>
      <c r="H240" s="46" t="s">
        <v>208</v>
      </c>
      <c r="I240" s="43" t="s">
        <v>48</v>
      </c>
      <c r="J240" s="93">
        <v>74</v>
      </c>
      <c r="K240" s="93">
        <f>K239</f>
        <v>75</v>
      </c>
      <c r="L240" s="93">
        <v>42</v>
      </c>
      <c r="M240" s="95">
        <v>28</v>
      </c>
      <c r="N240" s="95">
        <v>36</v>
      </c>
      <c r="O240" s="95">
        <v>35</v>
      </c>
      <c r="P240" s="95">
        <v>35</v>
      </c>
      <c r="Q240" s="94">
        <v>32</v>
      </c>
      <c r="R240" s="94">
        <v>32</v>
      </c>
      <c r="S240" s="94">
        <v>32</v>
      </c>
      <c r="T240" s="94">
        <v>32</v>
      </c>
      <c r="U240" s="94">
        <v>32</v>
      </c>
      <c r="V240" s="94">
        <v>32</v>
      </c>
      <c r="W240" s="250">
        <f t="shared" si="78"/>
        <v>386</v>
      </c>
      <c r="X240" s="30">
        <v>2024</v>
      </c>
      <c r="Y240" s="140">
        <f t="shared" si="73"/>
        <v>0</v>
      </c>
      <c r="Z240" s="141">
        <f t="shared" si="74"/>
        <v>0</v>
      </c>
      <c r="AA240" s="140">
        <f t="shared" si="75"/>
        <v>0</v>
      </c>
      <c r="AB240" s="140">
        <f t="shared" si="76"/>
        <v>0</v>
      </c>
    </row>
    <row r="241" spans="1:28" s="2" customFormat="1" ht="39" customHeight="1">
      <c r="A241" s="160" t="s">
        <v>19</v>
      </c>
      <c r="B241" s="34">
        <v>1</v>
      </c>
      <c r="C241" s="34">
        <v>1</v>
      </c>
      <c r="D241" s="34">
        <v>8</v>
      </c>
      <c r="E241" s="34">
        <v>0</v>
      </c>
      <c r="F241" s="34">
        <v>0</v>
      </c>
      <c r="G241" s="34"/>
      <c r="H241" s="35" t="s">
        <v>209</v>
      </c>
      <c r="I241" s="34" t="s">
        <v>21</v>
      </c>
      <c r="J241" s="81">
        <f aca="true" t="shared" si="79" ref="J241:V241">J242+J243</f>
        <v>26686.6</v>
      </c>
      <c r="K241" s="81">
        <f t="shared" si="79"/>
        <v>5942.1</v>
      </c>
      <c r="L241" s="81">
        <f t="shared" si="79"/>
        <v>8544.7</v>
      </c>
      <c r="M241" s="81">
        <f t="shared" si="79"/>
        <v>9005.7</v>
      </c>
      <c r="N241" s="81">
        <v>770.7</v>
      </c>
      <c r="O241" s="81">
        <v>12303.6</v>
      </c>
      <c r="P241" s="81">
        <f t="shared" si="79"/>
        <v>12303.7</v>
      </c>
      <c r="Q241" s="81">
        <v>12303.7</v>
      </c>
      <c r="R241" s="81">
        <f t="shared" si="79"/>
        <v>12303.7</v>
      </c>
      <c r="S241" s="81">
        <v>12303.7</v>
      </c>
      <c r="T241" s="81">
        <f t="shared" si="79"/>
        <v>12303.7</v>
      </c>
      <c r="U241" s="81">
        <v>11816.3</v>
      </c>
      <c r="V241" s="81">
        <f t="shared" si="79"/>
        <v>11816.3</v>
      </c>
      <c r="W241" s="81">
        <f t="shared" si="78"/>
        <v>99677.2</v>
      </c>
      <c r="X241" s="34">
        <v>2024</v>
      </c>
      <c r="Y241" s="140">
        <f t="shared" si="73"/>
        <v>0.1</v>
      </c>
      <c r="Z241" s="141">
        <f t="shared" si="74"/>
        <v>0</v>
      </c>
      <c r="AA241" s="140">
        <f t="shared" si="75"/>
        <v>0</v>
      </c>
      <c r="AB241" s="140">
        <f t="shared" si="76"/>
        <v>0</v>
      </c>
    </row>
    <row r="242" spans="1:28" s="2" customFormat="1" ht="12.75">
      <c r="A242" s="21" t="s">
        <v>19</v>
      </c>
      <c r="B242" s="22">
        <v>1</v>
      </c>
      <c r="C242" s="22">
        <v>1</v>
      </c>
      <c r="D242" s="22">
        <v>8</v>
      </c>
      <c r="E242" s="22">
        <v>0</v>
      </c>
      <c r="F242" s="22">
        <v>0</v>
      </c>
      <c r="G242" s="22">
        <v>3</v>
      </c>
      <c r="H242" s="26" t="s">
        <v>22</v>
      </c>
      <c r="I242" s="22" t="s">
        <v>21</v>
      </c>
      <c r="J242" s="64">
        <f aca="true" t="shared" si="80" ref="J242:L243">J250</f>
        <v>9925.6</v>
      </c>
      <c r="K242" s="64">
        <f t="shared" si="80"/>
        <v>4123</v>
      </c>
      <c r="L242" s="64">
        <f t="shared" si="80"/>
        <v>6350</v>
      </c>
      <c r="M242" s="65">
        <f aca="true" t="shared" si="81" ref="M242:P243">M250</f>
        <v>6350</v>
      </c>
      <c r="N242" s="65">
        <v>770.7</v>
      </c>
      <c r="O242" s="65">
        <v>9093.7</v>
      </c>
      <c r="P242" s="65">
        <f t="shared" si="81"/>
        <v>9093.7</v>
      </c>
      <c r="Q242" s="65">
        <v>9093.7</v>
      </c>
      <c r="R242" s="65">
        <f aca="true" t="shared" si="82" ref="R242:V243">R250</f>
        <v>9093.7</v>
      </c>
      <c r="S242" s="65">
        <v>9093.7</v>
      </c>
      <c r="T242" s="65">
        <f t="shared" si="82"/>
        <v>9093.7</v>
      </c>
      <c r="U242" s="65">
        <v>9093.7</v>
      </c>
      <c r="V242" s="65">
        <f t="shared" si="82"/>
        <v>9093.7</v>
      </c>
      <c r="W242" s="64">
        <f t="shared" si="78"/>
        <v>63894.1</v>
      </c>
      <c r="X242" s="28">
        <v>2024</v>
      </c>
      <c r="Y242" s="140">
        <f t="shared" si="73"/>
        <v>0</v>
      </c>
      <c r="Z242" s="141">
        <f t="shared" si="74"/>
        <v>0</v>
      </c>
      <c r="AA242" s="140">
        <f t="shared" si="75"/>
        <v>0</v>
      </c>
      <c r="AB242" s="140">
        <f t="shared" si="76"/>
        <v>0</v>
      </c>
    </row>
    <row r="243" spans="1:28" s="2" customFormat="1" ht="12.75">
      <c r="A243" s="21" t="s">
        <v>19</v>
      </c>
      <c r="B243" s="22">
        <v>1</v>
      </c>
      <c r="C243" s="22">
        <v>1</v>
      </c>
      <c r="D243" s="22">
        <v>8</v>
      </c>
      <c r="E243" s="22">
        <v>0</v>
      </c>
      <c r="F243" s="22">
        <v>0</v>
      </c>
      <c r="G243" s="22">
        <v>2</v>
      </c>
      <c r="H243" s="26" t="s">
        <v>23</v>
      </c>
      <c r="I243" s="22" t="s">
        <v>21</v>
      </c>
      <c r="J243" s="64">
        <f t="shared" si="80"/>
        <v>16761</v>
      </c>
      <c r="K243" s="64">
        <f t="shared" si="80"/>
        <v>1819.1</v>
      </c>
      <c r="L243" s="64">
        <f t="shared" si="80"/>
        <v>2194.7</v>
      </c>
      <c r="M243" s="65">
        <f t="shared" si="81"/>
        <v>2655.7</v>
      </c>
      <c r="N243" s="65">
        <v>0</v>
      </c>
      <c r="O243" s="65">
        <v>3209.9</v>
      </c>
      <c r="P243" s="65">
        <f t="shared" si="81"/>
        <v>3210</v>
      </c>
      <c r="Q243" s="65">
        <v>3210</v>
      </c>
      <c r="R243" s="65">
        <f t="shared" si="82"/>
        <v>3210</v>
      </c>
      <c r="S243" s="65">
        <v>3210</v>
      </c>
      <c r="T243" s="65">
        <f t="shared" si="82"/>
        <v>3210</v>
      </c>
      <c r="U243" s="65">
        <v>2722.6</v>
      </c>
      <c r="V243" s="65">
        <f t="shared" si="82"/>
        <v>2722.6</v>
      </c>
      <c r="W243" s="64">
        <f t="shared" si="78"/>
        <v>35783.1</v>
      </c>
      <c r="X243" s="28">
        <v>2024</v>
      </c>
      <c r="Y243" s="140">
        <f t="shared" si="73"/>
        <v>0.1</v>
      </c>
      <c r="Z243" s="141">
        <f t="shared" si="74"/>
        <v>0</v>
      </c>
      <c r="AA243" s="140">
        <f t="shared" si="75"/>
        <v>0</v>
      </c>
      <c r="AB243" s="140">
        <f t="shared" si="76"/>
        <v>0</v>
      </c>
    </row>
    <row r="244" spans="1:28" ht="51">
      <c r="A244" s="21" t="s">
        <v>19</v>
      </c>
      <c r="B244" s="22">
        <v>1</v>
      </c>
      <c r="C244" s="22">
        <v>1</v>
      </c>
      <c r="D244" s="22">
        <v>8</v>
      </c>
      <c r="E244" s="22">
        <v>0</v>
      </c>
      <c r="F244" s="22">
        <v>0</v>
      </c>
      <c r="G244" s="43"/>
      <c r="H244" s="44" t="s">
        <v>210</v>
      </c>
      <c r="I244" s="43" t="s">
        <v>57</v>
      </c>
      <c r="J244" s="93">
        <v>6</v>
      </c>
      <c r="K244" s="93">
        <v>7</v>
      </c>
      <c r="L244" s="93">
        <v>7</v>
      </c>
      <c r="M244" s="190">
        <v>7</v>
      </c>
      <c r="N244" s="190">
        <v>0</v>
      </c>
      <c r="O244" s="190">
        <v>9</v>
      </c>
      <c r="P244" s="190">
        <v>9</v>
      </c>
      <c r="Q244" s="190">
        <v>9</v>
      </c>
      <c r="R244" s="190">
        <v>9</v>
      </c>
      <c r="S244" s="190">
        <v>9</v>
      </c>
      <c r="T244" s="190">
        <v>9</v>
      </c>
      <c r="U244" s="190">
        <v>9</v>
      </c>
      <c r="V244" s="190">
        <v>9</v>
      </c>
      <c r="W244" s="190">
        <v>9</v>
      </c>
      <c r="X244" s="30">
        <v>2024</v>
      </c>
      <c r="Y244" s="140">
        <f t="shared" si="73"/>
        <v>0</v>
      </c>
      <c r="Z244" s="141">
        <f t="shared" si="74"/>
        <v>0</v>
      </c>
      <c r="AA244" s="140">
        <f t="shared" si="75"/>
        <v>0</v>
      </c>
      <c r="AB244" s="140">
        <f t="shared" si="76"/>
        <v>0</v>
      </c>
    </row>
    <row r="245" spans="1:28" ht="38.25">
      <c r="A245" s="21" t="s">
        <v>19</v>
      </c>
      <c r="B245" s="22">
        <v>1</v>
      </c>
      <c r="C245" s="22">
        <v>1</v>
      </c>
      <c r="D245" s="22">
        <v>8</v>
      </c>
      <c r="E245" s="22">
        <v>0</v>
      </c>
      <c r="F245" s="22">
        <v>0</v>
      </c>
      <c r="G245" s="43"/>
      <c r="H245" s="44" t="s">
        <v>211</v>
      </c>
      <c r="I245" s="43" t="s">
        <v>28</v>
      </c>
      <c r="J245" s="70">
        <v>18</v>
      </c>
      <c r="K245" s="70">
        <f>2996/19077*100</f>
        <v>15.7</v>
      </c>
      <c r="L245" s="70">
        <f>3281/19805*100</f>
        <v>16.6</v>
      </c>
      <c r="M245" s="217">
        <v>18.1</v>
      </c>
      <c r="N245" s="217">
        <v>0</v>
      </c>
      <c r="O245" s="217">
        <v>20</v>
      </c>
      <c r="P245" s="248">
        <f>4307/21576*100</f>
        <v>20</v>
      </c>
      <c r="Q245" s="217">
        <v>19.6</v>
      </c>
      <c r="R245" s="248">
        <v>19.6</v>
      </c>
      <c r="S245" s="217">
        <v>19.6</v>
      </c>
      <c r="T245" s="248">
        <f>4307/21940*100</f>
        <v>19.6</v>
      </c>
      <c r="U245" s="217">
        <v>19.6</v>
      </c>
      <c r="V245" s="248">
        <f>4307/21940*100</f>
        <v>19.6</v>
      </c>
      <c r="W245" s="217">
        <v>19.6</v>
      </c>
      <c r="X245" s="30">
        <v>2024</v>
      </c>
      <c r="Y245" s="140">
        <f t="shared" si="73"/>
        <v>0</v>
      </c>
      <c r="Z245" s="141">
        <f t="shared" si="74"/>
        <v>0</v>
      </c>
      <c r="AA245" s="140">
        <f t="shared" si="75"/>
        <v>0</v>
      </c>
      <c r="AB245" s="140">
        <f t="shared" si="76"/>
        <v>0</v>
      </c>
    </row>
    <row r="246" spans="1:28" ht="51">
      <c r="A246" s="21" t="s">
        <v>19</v>
      </c>
      <c r="B246" s="22">
        <v>1</v>
      </c>
      <c r="C246" s="22">
        <v>1</v>
      </c>
      <c r="D246" s="22">
        <v>8</v>
      </c>
      <c r="E246" s="22">
        <v>0</v>
      </c>
      <c r="F246" s="22">
        <v>0</v>
      </c>
      <c r="G246" s="43"/>
      <c r="H246" s="44" t="s">
        <v>212</v>
      </c>
      <c r="I246" s="43" t="s">
        <v>28</v>
      </c>
      <c r="J246" s="76">
        <v>1.1</v>
      </c>
      <c r="K246" s="76">
        <f>K242/K9*100</f>
        <v>0.3</v>
      </c>
      <c r="L246" s="76">
        <f>L242/L9*100</f>
        <v>0.5</v>
      </c>
      <c r="M246" s="76">
        <f>M242/M9*100</f>
        <v>0.4</v>
      </c>
      <c r="N246" s="76">
        <f>N242/N9*100</f>
        <v>0</v>
      </c>
      <c r="O246" s="76">
        <v>0.6</v>
      </c>
      <c r="P246" s="171">
        <f>P242/P9*100</f>
        <v>0.6</v>
      </c>
      <c r="Q246" s="76">
        <v>0.6</v>
      </c>
      <c r="R246" s="171">
        <f>R242/R9*100</f>
        <v>0.6</v>
      </c>
      <c r="S246" s="76">
        <v>0.6</v>
      </c>
      <c r="T246" s="171">
        <f>T242/T9*100</f>
        <v>0.6</v>
      </c>
      <c r="U246" s="76">
        <v>0.6</v>
      </c>
      <c r="V246" s="171">
        <f>V242/V9*100</f>
        <v>0.6</v>
      </c>
      <c r="W246" s="217">
        <v>0.6</v>
      </c>
      <c r="X246" s="30">
        <v>2024</v>
      </c>
      <c r="Y246" s="140">
        <f t="shared" si="73"/>
        <v>0</v>
      </c>
      <c r="Z246" s="141">
        <f t="shared" si="74"/>
        <v>0</v>
      </c>
      <c r="AA246" s="140">
        <f t="shared" si="75"/>
        <v>0</v>
      </c>
      <c r="AB246" s="140">
        <f t="shared" si="76"/>
        <v>0</v>
      </c>
    </row>
    <row r="247" spans="1:28" ht="51">
      <c r="A247" s="36" t="s">
        <v>19</v>
      </c>
      <c r="B247" s="37">
        <v>1</v>
      </c>
      <c r="C247" s="37">
        <v>1</v>
      </c>
      <c r="D247" s="37">
        <v>8</v>
      </c>
      <c r="E247" s="37">
        <v>0</v>
      </c>
      <c r="F247" s="37">
        <v>1</v>
      </c>
      <c r="G247" s="38"/>
      <c r="H247" s="39" t="s">
        <v>213</v>
      </c>
      <c r="I247" s="38" t="s">
        <v>43</v>
      </c>
      <c r="J247" s="87" t="s">
        <v>44</v>
      </c>
      <c r="K247" s="87" t="s">
        <v>44</v>
      </c>
      <c r="L247" s="87" t="s">
        <v>44</v>
      </c>
      <c r="M247" s="125" t="s">
        <v>44</v>
      </c>
      <c r="N247" s="125" t="s">
        <v>112</v>
      </c>
      <c r="O247" s="125" t="s">
        <v>44</v>
      </c>
      <c r="P247" s="125" t="s">
        <v>44</v>
      </c>
      <c r="Q247" s="125" t="s">
        <v>44</v>
      </c>
      <c r="R247" s="125" t="s">
        <v>44</v>
      </c>
      <c r="S247" s="125" t="s">
        <v>44</v>
      </c>
      <c r="T247" s="125" t="s">
        <v>44</v>
      </c>
      <c r="U247" s="125" t="s">
        <v>44</v>
      </c>
      <c r="V247" s="125" t="s">
        <v>44</v>
      </c>
      <c r="W247" s="125" t="s">
        <v>44</v>
      </c>
      <c r="X247" s="38">
        <v>2024</v>
      </c>
      <c r="Y247" s="140"/>
      <c r="Z247" s="141"/>
      <c r="AA247" s="140"/>
      <c r="AB247" s="140"/>
    </row>
    <row r="248" spans="1:28" ht="51">
      <c r="A248" s="21" t="s">
        <v>19</v>
      </c>
      <c r="B248" s="22">
        <v>1</v>
      </c>
      <c r="C248" s="22">
        <v>1</v>
      </c>
      <c r="D248" s="22">
        <v>8</v>
      </c>
      <c r="E248" s="22">
        <v>0</v>
      </c>
      <c r="F248" s="22">
        <v>1</v>
      </c>
      <c r="G248" s="43"/>
      <c r="H248" s="44" t="s">
        <v>214</v>
      </c>
      <c r="I248" s="43" t="s">
        <v>57</v>
      </c>
      <c r="J248" s="93">
        <v>2</v>
      </c>
      <c r="K248" s="93">
        <v>2</v>
      </c>
      <c r="L248" s="93">
        <v>2</v>
      </c>
      <c r="M248" s="94">
        <v>2</v>
      </c>
      <c r="N248" s="95">
        <v>0</v>
      </c>
      <c r="O248" s="95">
        <v>2</v>
      </c>
      <c r="P248" s="95">
        <v>2</v>
      </c>
      <c r="Q248" s="94">
        <v>2</v>
      </c>
      <c r="R248" s="94">
        <v>2</v>
      </c>
      <c r="S248" s="94">
        <v>2</v>
      </c>
      <c r="T248" s="94">
        <v>2</v>
      </c>
      <c r="U248" s="94">
        <v>2</v>
      </c>
      <c r="V248" s="94">
        <v>2</v>
      </c>
      <c r="W248" s="93">
        <f>J248+K248+L248+M248+N248+P248+R248+T248+V248</f>
        <v>16</v>
      </c>
      <c r="X248" s="30">
        <v>2024</v>
      </c>
      <c r="Y248" s="140">
        <f aca="true" t="shared" si="83" ref="Y248:Y262">P248-O248</f>
        <v>0</v>
      </c>
      <c r="Z248" s="141">
        <f aca="true" t="shared" si="84" ref="Z248:Z262">R248-Q248</f>
        <v>0</v>
      </c>
      <c r="AA248" s="140">
        <f aca="true" t="shared" si="85" ref="AA248:AA262">T248-S248</f>
        <v>0</v>
      </c>
      <c r="AB248" s="140">
        <f aca="true" t="shared" si="86" ref="AB248:AB262">V248-U248</f>
        <v>0</v>
      </c>
    </row>
    <row r="249" spans="1:28" s="2" customFormat="1" ht="51">
      <c r="A249" s="36" t="s">
        <v>19</v>
      </c>
      <c r="B249" s="37">
        <v>1</v>
      </c>
      <c r="C249" s="37">
        <v>1</v>
      </c>
      <c r="D249" s="37">
        <v>8</v>
      </c>
      <c r="E249" s="37">
        <v>0</v>
      </c>
      <c r="F249" s="37">
        <v>2</v>
      </c>
      <c r="G249" s="37"/>
      <c r="H249" s="40" t="s">
        <v>215</v>
      </c>
      <c r="I249" s="37" t="s">
        <v>21</v>
      </c>
      <c r="J249" s="88">
        <f aca="true" t="shared" si="87" ref="J249:V249">J250+J251</f>
        <v>26686.6</v>
      </c>
      <c r="K249" s="88">
        <f t="shared" si="87"/>
        <v>5942.1</v>
      </c>
      <c r="L249" s="88">
        <f t="shared" si="87"/>
        <v>8544.7</v>
      </c>
      <c r="M249" s="88">
        <f t="shared" si="87"/>
        <v>9005.7</v>
      </c>
      <c r="N249" s="88">
        <v>770.7</v>
      </c>
      <c r="O249" s="88">
        <v>12303.6</v>
      </c>
      <c r="P249" s="88">
        <f t="shared" si="87"/>
        <v>12303.7</v>
      </c>
      <c r="Q249" s="88">
        <v>12303.7</v>
      </c>
      <c r="R249" s="88">
        <f t="shared" si="87"/>
        <v>12303.7</v>
      </c>
      <c r="S249" s="88">
        <v>12303.7</v>
      </c>
      <c r="T249" s="88">
        <f t="shared" si="87"/>
        <v>12303.7</v>
      </c>
      <c r="U249" s="88">
        <v>11816.3</v>
      </c>
      <c r="V249" s="88">
        <f t="shared" si="87"/>
        <v>11816.3</v>
      </c>
      <c r="W249" s="88">
        <f>J249+K249+L249+M249+N249+P249+T249+R249+V249</f>
        <v>99677.2</v>
      </c>
      <c r="X249" s="37">
        <v>2024</v>
      </c>
      <c r="Y249" s="140">
        <f t="shared" si="83"/>
        <v>0.1</v>
      </c>
      <c r="Z249" s="141">
        <f t="shared" si="84"/>
        <v>0</v>
      </c>
      <c r="AA249" s="140">
        <f t="shared" si="85"/>
        <v>0</v>
      </c>
      <c r="AB249" s="140">
        <f t="shared" si="86"/>
        <v>0</v>
      </c>
    </row>
    <row r="250" spans="1:28" s="2" customFormat="1" ht="12.75">
      <c r="A250" s="21" t="s">
        <v>19</v>
      </c>
      <c r="B250" s="22">
        <v>1</v>
      </c>
      <c r="C250" s="22">
        <v>1</v>
      </c>
      <c r="D250" s="22">
        <v>8</v>
      </c>
      <c r="E250" s="22">
        <v>0</v>
      </c>
      <c r="F250" s="22">
        <v>2</v>
      </c>
      <c r="G250" s="22">
        <v>3</v>
      </c>
      <c r="H250" s="26" t="s">
        <v>22</v>
      </c>
      <c r="I250" s="22" t="s">
        <v>21</v>
      </c>
      <c r="J250" s="64">
        <f>9850+2275.6-2200</f>
        <v>9925.6</v>
      </c>
      <c r="K250" s="64">
        <v>4123</v>
      </c>
      <c r="L250" s="64">
        <v>6350</v>
      </c>
      <c r="M250" s="65">
        <v>6350</v>
      </c>
      <c r="N250" s="91">
        <v>770.7</v>
      </c>
      <c r="O250" s="91">
        <v>9093.7</v>
      </c>
      <c r="P250" s="91">
        <v>9093.7</v>
      </c>
      <c r="Q250" s="91">
        <v>9093.7</v>
      </c>
      <c r="R250" s="91">
        <v>9093.7</v>
      </c>
      <c r="S250" s="91">
        <v>9093.7</v>
      </c>
      <c r="T250" s="91">
        <v>9093.7</v>
      </c>
      <c r="U250" s="91">
        <v>9093.7</v>
      </c>
      <c r="V250" s="91">
        <v>9093.7</v>
      </c>
      <c r="W250" s="64">
        <f>J250+K250+L250+M250+N250+P250+R250+T250+V250</f>
        <v>63894.1</v>
      </c>
      <c r="X250" s="28">
        <v>2024</v>
      </c>
      <c r="Y250" s="140">
        <f t="shared" si="83"/>
        <v>0</v>
      </c>
      <c r="Z250" s="141">
        <f t="shared" si="84"/>
        <v>0</v>
      </c>
      <c r="AA250" s="140">
        <f t="shared" si="85"/>
        <v>0</v>
      </c>
      <c r="AB250" s="140">
        <f t="shared" si="86"/>
        <v>0</v>
      </c>
    </row>
    <row r="251" spans="1:28" s="2" customFormat="1" ht="12.75">
      <c r="A251" s="21" t="s">
        <v>19</v>
      </c>
      <c r="B251" s="22">
        <v>1</v>
      </c>
      <c r="C251" s="22">
        <v>1</v>
      </c>
      <c r="D251" s="22">
        <v>8</v>
      </c>
      <c r="E251" s="22">
        <v>0</v>
      </c>
      <c r="F251" s="22">
        <v>2</v>
      </c>
      <c r="G251" s="22">
        <v>2</v>
      </c>
      <c r="H251" s="26" t="s">
        <v>23</v>
      </c>
      <c r="I251" s="22" t="s">
        <v>21</v>
      </c>
      <c r="J251" s="64">
        <f>28761-12000</f>
        <v>16761</v>
      </c>
      <c r="K251" s="64">
        <f>2043.2-224.1</f>
        <v>1819.1</v>
      </c>
      <c r="L251" s="64">
        <v>2194.7</v>
      </c>
      <c r="M251" s="65">
        <v>2655.7</v>
      </c>
      <c r="N251" s="91">
        <v>0</v>
      </c>
      <c r="O251" s="91">
        <v>3209.9</v>
      </c>
      <c r="P251" s="91">
        <v>3210</v>
      </c>
      <c r="Q251" s="91">
        <v>3210</v>
      </c>
      <c r="R251" s="91">
        <v>3210</v>
      </c>
      <c r="S251" s="91">
        <v>3210</v>
      </c>
      <c r="T251" s="91">
        <v>3210</v>
      </c>
      <c r="U251" s="91">
        <v>2722.6</v>
      </c>
      <c r="V251" s="91">
        <v>2722.6</v>
      </c>
      <c r="W251" s="64">
        <f>J251+K251+L251+M251+N251+P251+R251+T251+V251</f>
        <v>35783.1</v>
      </c>
      <c r="X251" s="28">
        <v>2024</v>
      </c>
      <c r="Y251" s="140">
        <f t="shared" si="83"/>
        <v>0.1</v>
      </c>
      <c r="Z251" s="141">
        <f t="shared" si="84"/>
        <v>0</v>
      </c>
      <c r="AA251" s="140">
        <f t="shared" si="85"/>
        <v>0</v>
      </c>
      <c r="AB251" s="140">
        <f t="shared" si="86"/>
        <v>0</v>
      </c>
    </row>
    <row r="252" spans="1:28" ht="51">
      <c r="A252" s="21" t="s">
        <v>19</v>
      </c>
      <c r="B252" s="22">
        <v>1</v>
      </c>
      <c r="C252" s="22">
        <v>1</v>
      </c>
      <c r="D252" s="22">
        <v>8</v>
      </c>
      <c r="E252" s="22">
        <v>0</v>
      </c>
      <c r="F252" s="22">
        <v>2</v>
      </c>
      <c r="G252" s="43"/>
      <c r="H252" s="46" t="s">
        <v>216</v>
      </c>
      <c r="I252" s="43" t="s">
        <v>28</v>
      </c>
      <c r="J252" s="70">
        <v>4</v>
      </c>
      <c r="K252" s="70">
        <f>904/19077*100</f>
        <v>4.7</v>
      </c>
      <c r="L252" s="70">
        <f>922/19805*100</f>
        <v>4.7</v>
      </c>
      <c r="M252" s="71">
        <v>5.5</v>
      </c>
      <c r="N252" s="72">
        <v>0</v>
      </c>
      <c r="O252" s="72">
        <v>5.8</v>
      </c>
      <c r="P252" s="79">
        <f>1250/21463*100</f>
        <v>5.8</v>
      </c>
      <c r="Q252" s="72">
        <v>5.7</v>
      </c>
      <c r="R252" s="79">
        <f>1250/21923*100</f>
        <v>5.7</v>
      </c>
      <c r="S252" s="72">
        <v>5.6</v>
      </c>
      <c r="T252" s="79">
        <f>1250/22139*100</f>
        <v>5.6</v>
      </c>
      <c r="U252" s="72">
        <v>5.7</v>
      </c>
      <c r="V252" s="79">
        <f>1250/21940*100</f>
        <v>5.7</v>
      </c>
      <c r="W252" s="70">
        <f>(J252+K252+L252+M252+N252+P252+R252+T252+V252)/9</f>
        <v>4.6</v>
      </c>
      <c r="X252" s="30">
        <v>2024</v>
      </c>
      <c r="Y252" s="140">
        <f t="shared" si="83"/>
        <v>0</v>
      </c>
      <c r="Z252" s="141">
        <f t="shared" si="84"/>
        <v>0</v>
      </c>
      <c r="AA252" s="140">
        <f t="shared" si="85"/>
        <v>0</v>
      </c>
      <c r="AB252" s="140">
        <f t="shared" si="86"/>
        <v>0</v>
      </c>
    </row>
    <row r="253" spans="1:28" ht="57" customHeight="1">
      <c r="A253" s="21" t="s">
        <v>19</v>
      </c>
      <c r="B253" s="22">
        <v>1</v>
      </c>
      <c r="C253" s="22">
        <v>1</v>
      </c>
      <c r="D253" s="22">
        <v>8</v>
      </c>
      <c r="E253" s="22">
        <v>0</v>
      </c>
      <c r="F253" s="22">
        <v>2</v>
      </c>
      <c r="G253" s="43"/>
      <c r="H253" s="46" t="s">
        <v>217</v>
      </c>
      <c r="I253" s="43" t="s">
        <v>21</v>
      </c>
      <c r="J253" s="70">
        <f>J251/3000</f>
        <v>5.6</v>
      </c>
      <c r="K253" s="70">
        <v>2.3</v>
      </c>
      <c r="L253" s="70">
        <f>922/L251</f>
        <v>0.4</v>
      </c>
      <c r="M253" s="72">
        <v>2.4</v>
      </c>
      <c r="N253" s="72">
        <v>0</v>
      </c>
      <c r="O253" s="72">
        <v>2.1</v>
      </c>
      <c r="P253" s="79">
        <f>P251/1530</f>
        <v>2.1</v>
      </c>
      <c r="Q253" s="72">
        <v>2.1</v>
      </c>
      <c r="R253" s="79">
        <f>R251/1530</f>
        <v>2.1</v>
      </c>
      <c r="S253" s="72">
        <v>2.1</v>
      </c>
      <c r="T253" s="79">
        <f>T251/1530</f>
        <v>2.1</v>
      </c>
      <c r="U253" s="72">
        <v>2.2</v>
      </c>
      <c r="V253" s="79">
        <v>2.2</v>
      </c>
      <c r="W253" s="70">
        <f>(J253+K253+L253+M253+N253+P253+R253+T253+V253)/9</f>
        <v>2.1</v>
      </c>
      <c r="X253" s="30">
        <v>2024</v>
      </c>
      <c r="Y253" s="140">
        <f t="shared" si="83"/>
        <v>0</v>
      </c>
      <c r="Z253" s="141">
        <f t="shared" si="84"/>
        <v>0</v>
      </c>
      <c r="AA253" s="140">
        <f t="shared" si="85"/>
        <v>0</v>
      </c>
      <c r="AB253" s="140">
        <f t="shared" si="86"/>
        <v>0</v>
      </c>
    </row>
    <row r="254" spans="1:28" ht="38.25">
      <c r="A254" s="21" t="s">
        <v>19</v>
      </c>
      <c r="B254" s="22">
        <v>1</v>
      </c>
      <c r="C254" s="22">
        <v>1</v>
      </c>
      <c r="D254" s="22">
        <v>8</v>
      </c>
      <c r="E254" s="22">
        <v>0</v>
      </c>
      <c r="F254" s="22">
        <v>2</v>
      </c>
      <c r="G254" s="43"/>
      <c r="H254" s="46" t="s">
        <v>218</v>
      </c>
      <c r="I254" s="43" t="s">
        <v>48</v>
      </c>
      <c r="J254" s="93">
        <v>3000</v>
      </c>
      <c r="K254" s="93">
        <v>2996</v>
      </c>
      <c r="L254" s="93">
        <v>3275</v>
      </c>
      <c r="M254" s="95">
        <v>3667</v>
      </c>
      <c r="N254" s="95">
        <v>0</v>
      </c>
      <c r="O254" s="95">
        <v>4340</v>
      </c>
      <c r="P254" s="104">
        <v>4340</v>
      </c>
      <c r="Q254" s="95">
        <v>4307</v>
      </c>
      <c r="R254" s="104">
        <v>4307</v>
      </c>
      <c r="S254" s="95">
        <v>4307</v>
      </c>
      <c r="T254" s="104">
        <v>4307</v>
      </c>
      <c r="U254" s="95">
        <v>4307</v>
      </c>
      <c r="V254" s="104">
        <v>4307</v>
      </c>
      <c r="W254" s="251">
        <f>J254+K254+L254+M254+N254+P254+R254+T254+V254</f>
        <v>30199</v>
      </c>
      <c r="X254" s="30">
        <v>2024</v>
      </c>
      <c r="Y254" s="140">
        <f t="shared" si="83"/>
        <v>0</v>
      </c>
      <c r="Z254" s="141">
        <f t="shared" si="84"/>
        <v>0</v>
      </c>
      <c r="AA254" s="140">
        <f t="shared" si="85"/>
        <v>0</v>
      </c>
      <c r="AB254" s="140">
        <f t="shared" si="86"/>
        <v>0</v>
      </c>
    </row>
    <row r="255" spans="1:28" ht="38.25">
      <c r="A255" s="21" t="s">
        <v>19</v>
      </c>
      <c r="B255" s="22">
        <v>1</v>
      </c>
      <c r="C255" s="22">
        <v>1</v>
      </c>
      <c r="D255" s="22">
        <v>8</v>
      </c>
      <c r="E255" s="22">
        <v>0</v>
      </c>
      <c r="F255" s="22">
        <v>2</v>
      </c>
      <c r="G255" s="43"/>
      <c r="H255" s="46" t="s">
        <v>219</v>
      </c>
      <c r="I255" s="43" t="s">
        <v>57</v>
      </c>
      <c r="J255" s="93">
        <v>0</v>
      </c>
      <c r="K255" s="93">
        <v>0</v>
      </c>
      <c r="L255" s="93">
        <v>0</v>
      </c>
      <c r="M255" s="95">
        <v>0</v>
      </c>
      <c r="N255" s="95">
        <v>6</v>
      </c>
      <c r="O255" s="95">
        <v>0</v>
      </c>
      <c r="P255" s="111">
        <v>1</v>
      </c>
      <c r="Q255" s="95">
        <v>0</v>
      </c>
      <c r="R255" s="95">
        <v>0</v>
      </c>
      <c r="S255" s="95">
        <v>0</v>
      </c>
      <c r="T255" s="95">
        <v>0</v>
      </c>
      <c r="U255" s="95">
        <v>0</v>
      </c>
      <c r="V255" s="95">
        <v>0</v>
      </c>
      <c r="W255" s="251">
        <v>7</v>
      </c>
      <c r="X255" s="30">
        <v>2021</v>
      </c>
      <c r="Y255" s="140">
        <f t="shared" si="83"/>
        <v>1</v>
      </c>
      <c r="Z255" s="141">
        <f t="shared" si="84"/>
        <v>0</v>
      </c>
      <c r="AA255" s="140">
        <f t="shared" si="85"/>
        <v>0</v>
      </c>
      <c r="AB255" s="140">
        <f t="shared" si="86"/>
        <v>0</v>
      </c>
    </row>
    <row r="256" spans="1:28" s="2" customFormat="1" ht="38.25">
      <c r="A256" s="160" t="s">
        <v>19</v>
      </c>
      <c r="B256" s="34">
        <v>1</v>
      </c>
      <c r="C256" s="34">
        <v>1</v>
      </c>
      <c r="D256" s="34">
        <v>9</v>
      </c>
      <c r="E256" s="34">
        <v>0</v>
      </c>
      <c r="F256" s="34">
        <v>0</v>
      </c>
      <c r="G256" s="34"/>
      <c r="H256" s="35" t="s">
        <v>220</v>
      </c>
      <c r="I256" s="34" t="s">
        <v>21</v>
      </c>
      <c r="J256" s="81">
        <f>J257</f>
        <v>9999.9</v>
      </c>
      <c r="K256" s="81">
        <f aca="true" t="shared" si="88" ref="K256:V256">K257+K258</f>
        <v>10555.9</v>
      </c>
      <c r="L256" s="81">
        <f t="shared" si="88"/>
        <v>12931</v>
      </c>
      <c r="M256" s="81">
        <f t="shared" si="88"/>
        <v>13900.7</v>
      </c>
      <c r="N256" s="81">
        <v>16198.6</v>
      </c>
      <c r="O256" s="81">
        <v>16344.5</v>
      </c>
      <c r="P256" s="123">
        <f t="shared" si="88"/>
        <v>17310.1</v>
      </c>
      <c r="Q256" s="81">
        <v>17080.5</v>
      </c>
      <c r="R256" s="242">
        <f t="shared" si="88"/>
        <v>17080.5</v>
      </c>
      <c r="S256" s="242">
        <v>17080.5</v>
      </c>
      <c r="T256" s="242">
        <f t="shared" si="88"/>
        <v>17080.5</v>
      </c>
      <c r="U256" s="242">
        <v>17264</v>
      </c>
      <c r="V256" s="242">
        <f t="shared" si="88"/>
        <v>17264</v>
      </c>
      <c r="W256" s="123">
        <f>J256+K256+L256+M256+N256+P256+R256+T256+V256</f>
        <v>132321.2</v>
      </c>
      <c r="X256" s="34">
        <v>2024</v>
      </c>
      <c r="Y256" s="140">
        <f t="shared" si="83"/>
        <v>965.6</v>
      </c>
      <c r="Z256" s="141">
        <f t="shared" si="84"/>
        <v>0</v>
      </c>
      <c r="AA256" s="140">
        <f t="shared" si="85"/>
        <v>0</v>
      </c>
      <c r="AB256" s="140">
        <f t="shared" si="86"/>
        <v>0</v>
      </c>
    </row>
    <row r="257" spans="1:28" s="2" customFormat="1" ht="12.75">
      <c r="A257" s="21" t="s">
        <v>19</v>
      </c>
      <c r="B257" s="22">
        <v>1</v>
      </c>
      <c r="C257" s="22">
        <v>1</v>
      </c>
      <c r="D257" s="22">
        <v>9</v>
      </c>
      <c r="E257" s="22">
        <v>0</v>
      </c>
      <c r="F257" s="22">
        <v>0</v>
      </c>
      <c r="G257" s="22">
        <v>3</v>
      </c>
      <c r="H257" s="26" t="s">
        <v>22</v>
      </c>
      <c r="I257" s="22" t="s">
        <v>21</v>
      </c>
      <c r="J257" s="64">
        <f aca="true" t="shared" si="89" ref="J257:V257">J266</f>
        <v>9999.9</v>
      </c>
      <c r="K257" s="64">
        <f t="shared" si="89"/>
        <v>10180.9</v>
      </c>
      <c r="L257" s="64">
        <f t="shared" si="89"/>
        <v>11438.3</v>
      </c>
      <c r="M257" s="65">
        <f t="shared" si="89"/>
        <v>13900.7</v>
      </c>
      <c r="N257" s="65">
        <v>16198.6</v>
      </c>
      <c r="O257" s="65">
        <v>16344.5</v>
      </c>
      <c r="P257" s="85">
        <f t="shared" si="89"/>
        <v>16814.1</v>
      </c>
      <c r="Q257" s="65">
        <v>17080.5</v>
      </c>
      <c r="R257" s="66">
        <f t="shared" si="89"/>
        <v>17080.5</v>
      </c>
      <c r="S257" s="66">
        <v>17080.5</v>
      </c>
      <c r="T257" s="66">
        <f t="shared" si="89"/>
        <v>17080.5</v>
      </c>
      <c r="U257" s="66">
        <v>17264</v>
      </c>
      <c r="V257" s="66">
        <f t="shared" si="89"/>
        <v>17264</v>
      </c>
      <c r="W257" s="84">
        <f>J257+K257+L257+M257+N257+P257+R257+T257+V257</f>
        <v>129957.5</v>
      </c>
      <c r="X257" s="28">
        <v>2024</v>
      </c>
      <c r="Y257" s="140">
        <f t="shared" si="83"/>
        <v>469.6</v>
      </c>
      <c r="Z257" s="141">
        <f t="shared" si="84"/>
        <v>0</v>
      </c>
      <c r="AA257" s="140">
        <f t="shared" si="85"/>
        <v>0</v>
      </c>
      <c r="AB257" s="140">
        <f t="shared" si="86"/>
        <v>0</v>
      </c>
    </row>
    <row r="258" spans="1:28" s="2" customFormat="1" ht="12.75">
      <c r="A258" s="21" t="s">
        <v>19</v>
      </c>
      <c r="B258" s="22">
        <v>1</v>
      </c>
      <c r="C258" s="22">
        <v>1</v>
      </c>
      <c r="D258" s="22">
        <v>9</v>
      </c>
      <c r="E258" s="22">
        <v>0</v>
      </c>
      <c r="F258" s="22">
        <v>0</v>
      </c>
      <c r="G258" s="22">
        <v>3</v>
      </c>
      <c r="H258" s="26" t="s">
        <v>138</v>
      </c>
      <c r="I258" s="22" t="s">
        <v>21</v>
      </c>
      <c r="J258" s="64">
        <v>0</v>
      </c>
      <c r="K258" s="64">
        <f>K267</f>
        <v>375</v>
      </c>
      <c r="L258" s="64">
        <f>L267</f>
        <v>1492.7</v>
      </c>
      <c r="M258" s="65">
        <v>0</v>
      </c>
      <c r="N258" s="91">
        <v>0</v>
      </c>
      <c r="O258" s="91">
        <v>0</v>
      </c>
      <c r="P258" s="175">
        <f>P267</f>
        <v>496</v>
      </c>
      <c r="Q258" s="65">
        <v>0</v>
      </c>
      <c r="R258" s="66">
        <v>0</v>
      </c>
      <c r="S258" s="66">
        <v>0</v>
      </c>
      <c r="T258" s="66">
        <f>T267</f>
        <v>0</v>
      </c>
      <c r="U258" s="66">
        <v>0</v>
      </c>
      <c r="V258" s="66">
        <f>V267</f>
        <v>0</v>
      </c>
      <c r="W258" s="176">
        <f>J258+K258+L258+M258+N258+P258+R258+T258+V258</f>
        <v>2363.7</v>
      </c>
      <c r="X258" s="282">
        <v>2020</v>
      </c>
      <c r="Y258" s="140">
        <f t="shared" si="83"/>
        <v>496</v>
      </c>
      <c r="Z258" s="141">
        <f t="shared" si="84"/>
        <v>0</v>
      </c>
      <c r="AA258" s="140">
        <f t="shared" si="85"/>
        <v>0</v>
      </c>
      <c r="AB258" s="140">
        <f t="shared" si="86"/>
        <v>0</v>
      </c>
    </row>
    <row r="259" spans="1:28" ht="63.75">
      <c r="A259" s="21" t="s">
        <v>19</v>
      </c>
      <c r="B259" s="22">
        <v>1</v>
      </c>
      <c r="C259" s="22">
        <v>1</v>
      </c>
      <c r="D259" s="22">
        <v>9</v>
      </c>
      <c r="E259" s="22">
        <v>0</v>
      </c>
      <c r="F259" s="22">
        <v>0</v>
      </c>
      <c r="G259" s="43"/>
      <c r="H259" s="44" t="s">
        <v>221</v>
      </c>
      <c r="I259" s="43" t="s">
        <v>28</v>
      </c>
      <c r="J259" s="70">
        <v>100</v>
      </c>
      <c r="K259" s="70">
        <v>100</v>
      </c>
      <c r="L259" s="70">
        <v>100</v>
      </c>
      <c r="M259" s="71">
        <v>100</v>
      </c>
      <c r="N259" s="72">
        <v>100</v>
      </c>
      <c r="O259" s="72">
        <v>100</v>
      </c>
      <c r="P259" s="72">
        <v>100</v>
      </c>
      <c r="Q259" s="72">
        <v>100</v>
      </c>
      <c r="R259" s="72">
        <v>100</v>
      </c>
      <c r="S259" s="72">
        <v>100</v>
      </c>
      <c r="T259" s="72">
        <v>100</v>
      </c>
      <c r="U259" s="72">
        <v>100</v>
      </c>
      <c r="V259" s="72">
        <v>100</v>
      </c>
      <c r="W259" s="70">
        <v>100</v>
      </c>
      <c r="X259" s="30">
        <v>2024</v>
      </c>
      <c r="Y259" s="140">
        <f t="shared" si="83"/>
        <v>0</v>
      </c>
      <c r="Z259" s="141">
        <f t="shared" si="84"/>
        <v>0</v>
      </c>
      <c r="AA259" s="140">
        <f t="shared" si="85"/>
        <v>0</v>
      </c>
      <c r="AB259" s="140">
        <f t="shared" si="86"/>
        <v>0</v>
      </c>
    </row>
    <row r="260" spans="1:28" ht="63.75">
      <c r="A260" s="21" t="s">
        <v>19</v>
      </c>
      <c r="B260" s="22">
        <v>1</v>
      </c>
      <c r="C260" s="22">
        <v>1</v>
      </c>
      <c r="D260" s="22">
        <v>9</v>
      </c>
      <c r="E260" s="22">
        <v>0</v>
      </c>
      <c r="F260" s="22">
        <v>0</v>
      </c>
      <c r="G260" s="43"/>
      <c r="H260" s="44" t="s">
        <v>222</v>
      </c>
      <c r="I260" s="43" t="s">
        <v>28</v>
      </c>
      <c r="J260" s="76">
        <f>J257/J9*100</f>
        <v>0.9</v>
      </c>
      <c r="K260" s="76">
        <f>K257/K9*100</f>
        <v>0.8</v>
      </c>
      <c r="L260" s="76">
        <f>L257/L9*100</f>
        <v>0.8</v>
      </c>
      <c r="M260" s="236">
        <v>0.8</v>
      </c>
      <c r="N260" s="236">
        <v>1</v>
      </c>
      <c r="O260" s="236">
        <v>1</v>
      </c>
      <c r="P260" s="257">
        <f>P257/P9*100</f>
        <v>1</v>
      </c>
      <c r="Q260" s="257">
        <v>1.1</v>
      </c>
      <c r="R260" s="257">
        <f>R257/R9*100</f>
        <v>1.1</v>
      </c>
      <c r="S260" s="257">
        <v>1.1</v>
      </c>
      <c r="T260" s="257">
        <f>T257/T9*100</f>
        <v>1.1</v>
      </c>
      <c r="U260" s="257">
        <v>1.1</v>
      </c>
      <c r="V260" s="257">
        <f>V257/V9*100</f>
        <v>1.1</v>
      </c>
      <c r="W260" s="236">
        <f>(J260+K260+L260+M260+N260+P260+R260+T260+V260)/9</f>
        <v>1</v>
      </c>
      <c r="X260" s="30">
        <v>2024</v>
      </c>
      <c r="Y260" s="140">
        <f t="shared" si="83"/>
        <v>0</v>
      </c>
      <c r="Z260" s="141">
        <f t="shared" si="84"/>
        <v>0</v>
      </c>
      <c r="AA260" s="140">
        <f t="shared" si="85"/>
        <v>0</v>
      </c>
      <c r="AB260" s="140">
        <f t="shared" si="86"/>
        <v>0</v>
      </c>
    </row>
    <row r="261" spans="1:28" ht="89.25">
      <c r="A261" s="21" t="s">
        <v>19</v>
      </c>
      <c r="B261" s="22">
        <v>1</v>
      </c>
      <c r="C261" s="22">
        <v>1</v>
      </c>
      <c r="D261" s="22">
        <v>9</v>
      </c>
      <c r="E261" s="22">
        <v>0</v>
      </c>
      <c r="F261" s="22">
        <v>0</v>
      </c>
      <c r="G261" s="43"/>
      <c r="H261" s="44" t="s">
        <v>223</v>
      </c>
      <c r="I261" s="43" t="s">
        <v>48</v>
      </c>
      <c r="J261" s="99">
        <v>0</v>
      </c>
      <c r="K261" s="93">
        <v>1230</v>
      </c>
      <c r="L261" s="93">
        <v>1300</v>
      </c>
      <c r="M261" s="190">
        <v>1320</v>
      </c>
      <c r="N261" s="190">
        <v>1320</v>
      </c>
      <c r="O261" s="190">
        <v>1320</v>
      </c>
      <c r="P261" s="190">
        <v>1320</v>
      </c>
      <c r="Q261" s="190">
        <v>1320</v>
      </c>
      <c r="R261" s="190">
        <v>1320</v>
      </c>
      <c r="S261" s="190">
        <v>1320</v>
      </c>
      <c r="T261" s="190">
        <v>1320</v>
      </c>
      <c r="U261" s="190">
        <v>1320</v>
      </c>
      <c r="V261" s="190">
        <v>1320</v>
      </c>
      <c r="W261" s="190">
        <f>J261+K261+L261+M261+N261+P261+R261+T261+V261</f>
        <v>10450</v>
      </c>
      <c r="X261" s="30">
        <v>2024</v>
      </c>
      <c r="Y261" s="140">
        <f t="shared" si="83"/>
        <v>0</v>
      </c>
      <c r="Z261" s="141">
        <f t="shared" si="84"/>
        <v>0</v>
      </c>
      <c r="AA261" s="140">
        <f t="shared" si="85"/>
        <v>0</v>
      </c>
      <c r="AB261" s="140">
        <f t="shared" si="86"/>
        <v>0</v>
      </c>
    </row>
    <row r="262" spans="1:28" ht="51">
      <c r="A262" s="21" t="s">
        <v>19</v>
      </c>
      <c r="B262" s="22">
        <v>1</v>
      </c>
      <c r="C262" s="22">
        <v>1</v>
      </c>
      <c r="D262" s="22">
        <v>9</v>
      </c>
      <c r="E262" s="22">
        <v>0</v>
      </c>
      <c r="F262" s="22">
        <v>0</v>
      </c>
      <c r="G262" s="43"/>
      <c r="H262" s="44" t="s">
        <v>224</v>
      </c>
      <c r="I262" s="43" t="s">
        <v>57</v>
      </c>
      <c r="J262" s="258">
        <v>0</v>
      </c>
      <c r="K262" s="131">
        <v>0</v>
      </c>
      <c r="L262" s="131">
        <v>0</v>
      </c>
      <c r="M262" s="190">
        <v>3973</v>
      </c>
      <c r="N262" s="190">
        <v>2545</v>
      </c>
      <c r="O262" s="190">
        <v>4100</v>
      </c>
      <c r="P262" s="190">
        <v>4100</v>
      </c>
      <c r="Q262" s="190">
        <v>4200</v>
      </c>
      <c r="R262" s="190">
        <v>4200</v>
      </c>
      <c r="S262" s="190">
        <v>4200</v>
      </c>
      <c r="T262" s="190">
        <v>4200</v>
      </c>
      <c r="U262" s="190">
        <v>4200</v>
      </c>
      <c r="V262" s="190">
        <v>4200</v>
      </c>
      <c r="W262" s="190">
        <f>J262+K262+L262+M262+N262+P262+R262+T262+V262</f>
        <v>23218</v>
      </c>
      <c r="X262" s="43">
        <v>2024</v>
      </c>
      <c r="Y262" s="140">
        <f t="shared" si="83"/>
        <v>0</v>
      </c>
      <c r="Z262" s="141">
        <f t="shared" si="84"/>
        <v>0</v>
      </c>
      <c r="AA262" s="140">
        <f t="shared" si="85"/>
        <v>0</v>
      </c>
      <c r="AB262" s="140">
        <f t="shared" si="86"/>
        <v>0</v>
      </c>
    </row>
    <row r="263" spans="1:28" ht="38.25">
      <c r="A263" s="36" t="s">
        <v>19</v>
      </c>
      <c r="B263" s="37">
        <v>1</v>
      </c>
      <c r="C263" s="37">
        <v>1</v>
      </c>
      <c r="D263" s="37">
        <v>9</v>
      </c>
      <c r="E263" s="37">
        <v>0</v>
      </c>
      <c r="F263" s="37">
        <v>1</v>
      </c>
      <c r="G263" s="38"/>
      <c r="H263" s="39" t="s">
        <v>225</v>
      </c>
      <c r="I263" s="38" t="s">
        <v>43</v>
      </c>
      <c r="J263" s="87" t="s">
        <v>44</v>
      </c>
      <c r="K263" s="87" t="s">
        <v>44</v>
      </c>
      <c r="L263" s="87" t="s">
        <v>44</v>
      </c>
      <c r="M263" s="125" t="s">
        <v>44</v>
      </c>
      <c r="N263" s="125" t="s">
        <v>44</v>
      </c>
      <c r="O263" s="125" t="s">
        <v>44</v>
      </c>
      <c r="P263" s="125" t="s">
        <v>44</v>
      </c>
      <c r="Q263" s="125" t="s">
        <v>44</v>
      </c>
      <c r="R263" s="125" t="s">
        <v>44</v>
      </c>
      <c r="S263" s="125" t="s">
        <v>44</v>
      </c>
      <c r="T263" s="125" t="s">
        <v>44</v>
      </c>
      <c r="U263" s="125" t="s">
        <v>44</v>
      </c>
      <c r="V263" s="125" t="s">
        <v>44</v>
      </c>
      <c r="W263" s="125" t="s">
        <v>44</v>
      </c>
      <c r="X263" s="38">
        <v>2024</v>
      </c>
      <c r="Y263" s="140"/>
      <c r="Z263" s="141"/>
      <c r="AA263" s="140"/>
      <c r="AB263" s="140"/>
    </row>
    <row r="264" spans="1:28" ht="51">
      <c r="A264" s="21" t="s">
        <v>19</v>
      </c>
      <c r="B264" s="22">
        <v>1</v>
      </c>
      <c r="C264" s="22">
        <v>1</v>
      </c>
      <c r="D264" s="22">
        <v>9</v>
      </c>
      <c r="E264" s="22">
        <v>0</v>
      </c>
      <c r="F264" s="22">
        <v>1</v>
      </c>
      <c r="G264" s="43"/>
      <c r="H264" s="44" t="s">
        <v>226</v>
      </c>
      <c r="I264" s="43" t="s">
        <v>28</v>
      </c>
      <c r="J264" s="70">
        <v>100</v>
      </c>
      <c r="K264" s="70">
        <v>100</v>
      </c>
      <c r="L264" s="70">
        <v>100</v>
      </c>
      <c r="M264" s="71">
        <v>100</v>
      </c>
      <c r="N264" s="72">
        <v>100</v>
      </c>
      <c r="O264" s="72">
        <v>100</v>
      </c>
      <c r="P264" s="72">
        <v>100</v>
      </c>
      <c r="Q264" s="72">
        <v>100</v>
      </c>
      <c r="R264" s="72">
        <v>100</v>
      </c>
      <c r="S264" s="72">
        <v>100</v>
      </c>
      <c r="T264" s="72">
        <v>100</v>
      </c>
      <c r="U264" s="72">
        <v>100</v>
      </c>
      <c r="V264" s="72">
        <v>100</v>
      </c>
      <c r="W264" s="72">
        <v>100</v>
      </c>
      <c r="X264" s="30">
        <v>2024</v>
      </c>
      <c r="Y264" s="140">
        <f aca="true" t="shared" si="90" ref="Y264:Y282">P264-O264</f>
        <v>0</v>
      </c>
      <c r="Z264" s="141">
        <f aca="true" t="shared" si="91" ref="Z264:Z282">R264-Q264</f>
        <v>0</v>
      </c>
      <c r="AA264" s="140">
        <f aca="true" t="shared" si="92" ref="AA264:AA282">T264-S264</f>
        <v>0</v>
      </c>
      <c r="AB264" s="140">
        <f aca="true" t="shared" si="93" ref="AB264:AB282">V264-U264</f>
        <v>0</v>
      </c>
    </row>
    <row r="265" spans="1:28" s="2" customFormat="1" ht="51">
      <c r="A265" s="36" t="s">
        <v>19</v>
      </c>
      <c r="B265" s="37">
        <v>1</v>
      </c>
      <c r="C265" s="37">
        <v>1</v>
      </c>
      <c r="D265" s="37">
        <v>9</v>
      </c>
      <c r="E265" s="37">
        <v>0</v>
      </c>
      <c r="F265" s="37">
        <v>2</v>
      </c>
      <c r="G265" s="37"/>
      <c r="H265" s="40" t="s">
        <v>227</v>
      </c>
      <c r="I265" s="37" t="s">
        <v>21</v>
      </c>
      <c r="J265" s="88">
        <f>J266</f>
        <v>9999.9</v>
      </c>
      <c r="K265" s="88">
        <f>K266+K267</f>
        <v>10555.9</v>
      </c>
      <c r="L265" s="88">
        <f>L266+L267</f>
        <v>12931</v>
      </c>
      <c r="M265" s="89">
        <f>M266</f>
        <v>13900.7</v>
      </c>
      <c r="N265" s="89">
        <v>16198.6</v>
      </c>
      <c r="O265" s="89">
        <v>16344.5</v>
      </c>
      <c r="P265" s="90">
        <f>P266+P267</f>
        <v>17310.1</v>
      </c>
      <c r="Q265" s="89">
        <v>17080.5</v>
      </c>
      <c r="R265" s="89">
        <f>R266</f>
        <v>17080.5</v>
      </c>
      <c r="S265" s="89">
        <v>17080.5</v>
      </c>
      <c r="T265" s="89">
        <f>T266</f>
        <v>17080.5</v>
      </c>
      <c r="U265" s="89">
        <v>17264</v>
      </c>
      <c r="V265" s="89">
        <f>V266</f>
        <v>17264</v>
      </c>
      <c r="W265" s="109">
        <f>J265+K265+L265+M265+N265+P265+R265+T265+V265</f>
        <v>132321.2</v>
      </c>
      <c r="X265" s="37">
        <v>2024</v>
      </c>
      <c r="Y265" s="140">
        <f t="shared" si="90"/>
        <v>965.6</v>
      </c>
      <c r="Z265" s="141">
        <f t="shared" si="91"/>
        <v>0</v>
      </c>
      <c r="AA265" s="140">
        <f t="shared" si="92"/>
        <v>0</v>
      </c>
      <c r="AB265" s="140">
        <f t="shared" si="93"/>
        <v>0</v>
      </c>
    </row>
    <row r="266" spans="1:28" s="2" customFormat="1" ht="12.75">
      <c r="A266" s="21" t="s">
        <v>19</v>
      </c>
      <c r="B266" s="22">
        <v>1</v>
      </c>
      <c r="C266" s="22">
        <v>1</v>
      </c>
      <c r="D266" s="22">
        <v>9</v>
      </c>
      <c r="E266" s="22">
        <v>0</v>
      </c>
      <c r="F266" s="22">
        <v>2</v>
      </c>
      <c r="G266" s="22">
        <v>3</v>
      </c>
      <c r="H266" s="26" t="s">
        <v>22</v>
      </c>
      <c r="I266" s="22" t="s">
        <v>21</v>
      </c>
      <c r="J266" s="64">
        <f>10273-273.1</f>
        <v>9999.9</v>
      </c>
      <c r="K266" s="64">
        <v>10180.9</v>
      </c>
      <c r="L266" s="64">
        <v>11438.3</v>
      </c>
      <c r="M266" s="65">
        <v>13900.7</v>
      </c>
      <c r="N266" s="91">
        <v>16198.6</v>
      </c>
      <c r="O266" s="91">
        <v>16344.5</v>
      </c>
      <c r="P266" s="92">
        <v>16814.1</v>
      </c>
      <c r="Q266" s="91">
        <v>17080.5</v>
      </c>
      <c r="R266" s="91">
        <v>17080.5</v>
      </c>
      <c r="S266" s="91">
        <v>17080.5</v>
      </c>
      <c r="T266" s="91">
        <v>17080.5</v>
      </c>
      <c r="U266" s="91">
        <v>17264</v>
      </c>
      <c r="V266" s="91">
        <v>17264</v>
      </c>
      <c r="W266" s="126">
        <f>J266+K266+L266+M266+N266+P266+R266+T266+V266</f>
        <v>129957.5</v>
      </c>
      <c r="X266" s="28">
        <v>2024</v>
      </c>
      <c r="Y266" s="140">
        <f t="shared" si="90"/>
        <v>469.6</v>
      </c>
      <c r="Z266" s="141">
        <f t="shared" si="91"/>
        <v>0</v>
      </c>
      <c r="AA266" s="140">
        <f t="shared" si="92"/>
        <v>0</v>
      </c>
      <c r="AB266" s="140">
        <f t="shared" si="93"/>
        <v>0</v>
      </c>
    </row>
    <row r="267" spans="1:28" s="2" customFormat="1" ht="12.75">
      <c r="A267" s="21" t="s">
        <v>19</v>
      </c>
      <c r="B267" s="22">
        <v>1</v>
      </c>
      <c r="C267" s="22">
        <v>1</v>
      </c>
      <c r="D267" s="22">
        <v>9</v>
      </c>
      <c r="E267" s="22">
        <v>0</v>
      </c>
      <c r="F267" s="22">
        <v>2</v>
      </c>
      <c r="G267" s="22">
        <v>3</v>
      </c>
      <c r="H267" s="26" t="s">
        <v>138</v>
      </c>
      <c r="I267" s="22" t="s">
        <v>21</v>
      </c>
      <c r="J267" s="64">
        <v>0</v>
      </c>
      <c r="K267" s="64">
        <f>374.9+0.05</f>
        <v>375</v>
      </c>
      <c r="L267" s="64">
        <v>1492.7</v>
      </c>
      <c r="M267" s="65">
        <v>0</v>
      </c>
      <c r="N267" s="91">
        <v>0</v>
      </c>
      <c r="O267" s="91">
        <v>0</v>
      </c>
      <c r="P267" s="92">
        <v>496</v>
      </c>
      <c r="Q267" s="65">
        <v>0</v>
      </c>
      <c r="R267" s="65">
        <v>0</v>
      </c>
      <c r="S267" s="65">
        <v>0</v>
      </c>
      <c r="T267" s="65">
        <v>0</v>
      </c>
      <c r="U267" s="65">
        <v>0</v>
      </c>
      <c r="V267" s="65">
        <v>0</v>
      </c>
      <c r="W267" s="126">
        <f>J267+K267+L267+M267+N267+P267+R267+T267+V267</f>
        <v>2363.7</v>
      </c>
      <c r="X267" s="28">
        <v>2021</v>
      </c>
      <c r="Y267" s="140">
        <f t="shared" si="90"/>
        <v>496</v>
      </c>
      <c r="Z267" s="141">
        <f t="shared" si="91"/>
        <v>0</v>
      </c>
      <c r="AA267" s="140">
        <f t="shared" si="92"/>
        <v>0</v>
      </c>
      <c r="AB267" s="140">
        <f t="shared" si="93"/>
        <v>0</v>
      </c>
    </row>
    <row r="268" spans="1:28" ht="51">
      <c r="A268" s="21" t="s">
        <v>19</v>
      </c>
      <c r="B268" s="22">
        <v>1</v>
      </c>
      <c r="C268" s="22">
        <v>1</v>
      </c>
      <c r="D268" s="22">
        <v>9</v>
      </c>
      <c r="E268" s="22">
        <v>0</v>
      </c>
      <c r="F268" s="22">
        <v>2</v>
      </c>
      <c r="G268" s="43"/>
      <c r="H268" s="44" t="s">
        <v>228</v>
      </c>
      <c r="I268" s="43" t="s">
        <v>48</v>
      </c>
      <c r="J268" s="93">
        <v>1086</v>
      </c>
      <c r="K268" s="93">
        <v>0</v>
      </c>
      <c r="L268" s="93">
        <v>0</v>
      </c>
      <c r="M268" s="94">
        <v>0</v>
      </c>
      <c r="N268" s="95">
        <v>0</v>
      </c>
      <c r="O268" s="95">
        <v>0</v>
      </c>
      <c r="P268" s="95">
        <v>0</v>
      </c>
      <c r="Q268" s="95">
        <v>0</v>
      </c>
      <c r="R268" s="95">
        <v>0</v>
      </c>
      <c r="S268" s="95">
        <v>0</v>
      </c>
      <c r="T268" s="95">
        <v>0</v>
      </c>
      <c r="U268" s="95">
        <v>0</v>
      </c>
      <c r="V268" s="95">
        <v>0</v>
      </c>
      <c r="W268" s="93">
        <v>1086</v>
      </c>
      <c r="X268" s="30">
        <v>2016</v>
      </c>
      <c r="Y268" s="140">
        <f t="shared" si="90"/>
        <v>0</v>
      </c>
      <c r="Z268" s="141">
        <f t="shared" si="91"/>
        <v>0</v>
      </c>
      <c r="AA268" s="140">
        <f t="shared" si="92"/>
        <v>0</v>
      </c>
      <c r="AB268" s="140">
        <f t="shared" si="93"/>
        <v>0</v>
      </c>
    </row>
    <row r="269" spans="1:28" ht="76.5">
      <c r="A269" s="21" t="s">
        <v>19</v>
      </c>
      <c r="B269" s="22">
        <v>1</v>
      </c>
      <c r="C269" s="22">
        <v>1</v>
      </c>
      <c r="D269" s="22">
        <v>9</v>
      </c>
      <c r="E269" s="22">
        <v>0</v>
      </c>
      <c r="F269" s="22">
        <v>2</v>
      </c>
      <c r="G269" s="43"/>
      <c r="H269" s="44" t="s">
        <v>229</v>
      </c>
      <c r="I269" s="43" t="s">
        <v>116</v>
      </c>
      <c r="J269" s="93">
        <v>11795</v>
      </c>
      <c r="K269" s="93">
        <v>8400</v>
      </c>
      <c r="L269" s="93">
        <v>8400</v>
      </c>
      <c r="M269" s="94">
        <v>8400</v>
      </c>
      <c r="N269" s="95">
        <v>8400</v>
      </c>
      <c r="O269" s="95">
        <v>8400</v>
      </c>
      <c r="P269" s="95">
        <v>8400</v>
      </c>
      <c r="Q269" s="95">
        <v>8400</v>
      </c>
      <c r="R269" s="95">
        <v>8400</v>
      </c>
      <c r="S269" s="95">
        <v>8400</v>
      </c>
      <c r="T269" s="95">
        <v>8400</v>
      </c>
      <c r="U269" s="95">
        <v>8400</v>
      </c>
      <c r="V269" s="95">
        <v>8400</v>
      </c>
      <c r="W269" s="93">
        <f>(J269+K269+L269+M269+N269+P269+R269+T269+V269)/9</f>
        <v>8777</v>
      </c>
      <c r="X269" s="30">
        <v>2024</v>
      </c>
      <c r="Y269" s="140">
        <f t="shared" si="90"/>
        <v>0</v>
      </c>
      <c r="Z269" s="141">
        <f t="shared" si="91"/>
        <v>0</v>
      </c>
      <c r="AA269" s="140">
        <f t="shared" si="92"/>
        <v>0</v>
      </c>
      <c r="AB269" s="140">
        <f t="shared" si="93"/>
        <v>0</v>
      </c>
    </row>
    <row r="270" spans="1:28" ht="38.25">
      <c r="A270" s="22" t="s">
        <v>19</v>
      </c>
      <c r="B270" s="22">
        <v>1</v>
      </c>
      <c r="C270" s="22">
        <v>1</v>
      </c>
      <c r="D270" s="22">
        <v>9</v>
      </c>
      <c r="E270" s="22">
        <v>0</v>
      </c>
      <c r="F270" s="22">
        <v>2</v>
      </c>
      <c r="G270" s="161"/>
      <c r="H270" s="162" t="s">
        <v>118</v>
      </c>
      <c r="I270" s="161" t="s">
        <v>119</v>
      </c>
      <c r="J270" s="70">
        <v>0</v>
      </c>
      <c r="K270" s="70">
        <v>36066</v>
      </c>
      <c r="L270" s="70">
        <v>42098.7</v>
      </c>
      <c r="M270" s="71">
        <v>45742</v>
      </c>
      <c r="N270" s="72">
        <v>51170.1</v>
      </c>
      <c r="O270" s="72">
        <v>51170.1</v>
      </c>
      <c r="P270" s="180">
        <v>54013.2</v>
      </c>
      <c r="Q270" s="180">
        <v>51170.1</v>
      </c>
      <c r="R270" s="180">
        <v>54013.2</v>
      </c>
      <c r="S270" s="180">
        <v>51170.1</v>
      </c>
      <c r="T270" s="180">
        <v>54013.2</v>
      </c>
      <c r="U270" s="180">
        <v>51170.1</v>
      </c>
      <c r="V270" s="180">
        <v>54013.2</v>
      </c>
      <c r="W270" s="180">
        <v>54013.2</v>
      </c>
      <c r="X270" s="30">
        <v>2024</v>
      </c>
      <c r="Y270" s="140">
        <f t="shared" si="90"/>
        <v>2843.1</v>
      </c>
      <c r="Z270" s="141">
        <f t="shared" si="91"/>
        <v>2843.1</v>
      </c>
      <c r="AA270" s="140">
        <f t="shared" si="92"/>
        <v>2843.1</v>
      </c>
      <c r="AB270" s="140">
        <f t="shared" si="93"/>
        <v>2843.1</v>
      </c>
    </row>
    <row r="271" spans="1:28" ht="63.75">
      <c r="A271" s="21" t="s">
        <v>19</v>
      </c>
      <c r="B271" s="22">
        <v>1</v>
      </c>
      <c r="C271" s="22">
        <v>1</v>
      </c>
      <c r="D271" s="22">
        <v>9</v>
      </c>
      <c r="E271" s="22">
        <v>0</v>
      </c>
      <c r="F271" s="22">
        <v>2</v>
      </c>
      <c r="G271" s="43"/>
      <c r="H271" s="44" t="s">
        <v>230</v>
      </c>
      <c r="I271" s="43" t="s">
        <v>48</v>
      </c>
      <c r="J271" s="93">
        <v>0</v>
      </c>
      <c r="K271" s="93">
        <v>200</v>
      </c>
      <c r="L271" s="93">
        <v>200</v>
      </c>
      <c r="M271" s="94">
        <v>200</v>
      </c>
      <c r="N271" s="95">
        <v>200</v>
      </c>
      <c r="O271" s="95">
        <v>200</v>
      </c>
      <c r="P271" s="95">
        <v>200</v>
      </c>
      <c r="Q271" s="95">
        <v>200</v>
      </c>
      <c r="R271" s="95">
        <v>200</v>
      </c>
      <c r="S271" s="95">
        <v>200</v>
      </c>
      <c r="T271" s="95">
        <v>200</v>
      </c>
      <c r="U271" s="95">
        <v>200</v>
      </c>
      <c r="V271" s="95">
        <v>200</v>
      </c>
      <c r="W271" s="93">
        <f>J271+K271+L271+M271+N271+P271+R271+T271+V271</f>
        <v>1600</v>
      </c>
      <c r="X271" s="30">
        <v>2024</v>
      </c>
      <c r="Y271" s="140">
        <f t="shared" si="90"/>
        <v>0</v>
      </c>
      <c r="Z271" s="141">
        <f t="shared" si="91"/>
        <v>0</v>
      </c>
      <c r="AA271" s="140">
        <f t="shared" si="92"/>
        <v>0</v>
      </c>
      <c r="AB271" s="140">
        <f t="shared" si="93"/>
        <v>0</v>
      </c>
    </row>
    <row r="272" spans="1:28" ht="63.75">
      <c r="A272" s="21" t="s">
        <v>19</v>
      </c>
      <c r="B272" s="22">
        <v>1</v>
      </c>
      <c r="C272" s="22">
        <v>1</v>
      </c>
      <c r="D272" s="22">
        <v>9</v>
      </c>
      <c r="E272" s="22">
        <v>0</v>
      </c>
      <c r="F272" s="22">
        <v>2</v>
      </c>
      <c r="G272" s="43"/>
      <c r="H272" s="44" t="s">
        <v>231</v>
      </c>
      <c r="I272" s="43" t="s">
        <v>48</v>
      </c>
      <c r="J272" s="93">
        <v>0</v>
      </c>
      <c r="K272" s="93">
        <v>0</v>
      </c>
      <c r="L272" s="93">
        <v>7</v>
      </c>
      <c r="M272" s="94">
        <v>9</v>
      </c>
      <c r="N272" s="95">
        <v>9</v>
      </c>
      <c r="O272" s="95">
        <v>9</v>
      </c>
      <c r="P272" s="104">
        <v>9</v>
      </c>
      <c r="Q272" s="95">
        <v>9</v>
      </c>
      <c r="R272" s="104">
        <v>9</v>
      </c>
      <c r="S272" s="95">
        <v>9</v>
      </c>
      <c r="T272" s="104">
        <v>9</v>
      </c>
      <c r="U272" s="95">
        <v>9</v>
      </c>
      <c r="V272" s="104">
        <v>9</v>
      </c>
      <c r="W272" s="93">
        <f>J272+K272+L272+M272+N272+P272+T272+R272+V272</f>
        <v>61</v>
      </c>
      <c r="X272" s="30">
        <v>2024</v>
      </c>
      <c r="Y272" s="140">
        <f t="shared" si="90"/>
        <v>0</v>
      </c>
      <c r="Z272" s="141">
        <f t="shared" si="91"/>
        <v>0</v>
      </c>
      <c r="AA272" s="140">
        <f t="shared" si="92"/>
        <v>0</v>
      </c>
      <c r="AB272" s="140">
        <f t="shared" si="93"/>
        <v>0</v>
      </c>
    </row>
    <row r="273" spans="1:28" ht="51.75" customHeight="1">
      <c r="A273" s="21" t="s">
        <v>19</v>
      </c>
      <c r="B273" s="22">
        <v>1</v>
      </c>
      <c r="C273" s="22">
        <v>1</v>
      </c>
      <c r="D273" s="22">
        <v>9</v>
      </c>
      <c r="E273" s="22">
        <v>0</v>
      </c>
      <c r="F273" s="22">
        <v>2</v>
      </c>
      <c r="G273" s="43"/>
      <c r="H273" s="46" t="s">
        <v>232</v>
      </c>
      <c r="I273" s="43" t="s">
        <v>48</v>
      </c>
      <c r="J273" s="173">
        <v>0</v>
      </c>
      <c r="K273" s="173">
        <v>0</v>
      </c>
      <c r="L273" s="173">
        <v>0</v>
      </c>
      <c r="M273" s="107">
        <v>0</v>
      </c>
      <c r="N273" s="107">
        <v>0</v>
      </c>
      <c r="O273" s="95">
        <v>285</v>
      </c>
      <c r="P273" s="95">
        <v>285</v>
      </c>
      <c r="Q273" s="95">
        <v>285</v>
      </c>
      <c r="R273" s="95">
        <v>285</v>
      </c>
      <c r="S273" s="95">
        <v>285</v>
      </c>
      <c r="T273" s="95">
        <v>285</v>
      </c>
      <c r="U273" s="95">
        <v>285</v>
      </c>
      <c r="V273" s="95">
        <v>285</v>
      </c>
      <c r="W273" s="131">
        <f>(P273+R273+T273+V273)/4</f>
        <v>285</v>
      </c>
      <c r="X273" s="173">
        <v>2024</v>
      </c>
      <c r="Y273" s="140">
        <f t="shared" si="90"/>
        <v>0</v>
      </c>
      <c r="Z273" s="141">
        <f t="shared" si="91"/>
        <v>0</v>
      </c>
      <c r="AA273" s="140">
        <f t="shared" si="92"/>
        <v>0</v>
      </c>
      <c r="AB273" s="140">
        <f t="shared" si="93"/>
        <v>0</v>
      </c>
    </row>
    <row r="274" spans="1:28" ht="38.25">
      <c r="A274" s="23" t="s">
        <v>19</v>
      </c>
      <c r="B274" s="24">
        <v>1</v>
      </c>
      <c r="C274" s="24">
        <v>2</v>
      </c>
      <c r="D274" s="24">
        <v>0</v>
      </c>
      <c r="E274" s="24">
        <v>0</v>
      </c>
      <c r="F274" s="24">
        <v>0</v>
      </c>
      <c r="G274" s="24"/>
      <c r="H274" s="25" t="s">
        <v>233</v>
      </c>
      <c r="I274" s="24" t="s">
        <v>21</v>
      </c>
      <c r="J274" s="61">
        <f>J275+J276+J277</f>
        <v>31048.7</v>
      </c>
      <c r="K274" s="61">
        <f aca="true" t="shared" si="94" ref="K274:V274">K275+K276</f>
        <v>84146.3</v>
      </c>
      <c r="L274" s="61">
        <f t="shared" si="94"/>
        <v>158635.7</v>
      </c>
      <c r="M274" s="62">
        <f t="shared" si="94"/>
        <v>255566.6</v>
      </c>
      <c r="N274" s="62">
        <v>170354.7</v>
      </c>
      <c r="O274" s="62">
        <v>172368.5</v>
      </c>
      <c r="P274" s="259">
        <f>P275+P276</f>
        <v>188942.1</v>
      </c>
      <c r="Q274" s="259">
        <v>109643</v>
      </c>
      <c r="R274" s="259">
        <f t="shared" si="94"/>
        <v>114423.5</v>
      </c>
      <c r="S274" s="259">
        <v>109643</v>
      </c>
      <c r="T274" s="259">
        <f t="shared" si="94"/>
        <v>109643</v>
      </c>
      <c r="U274" s="259">
        <v>109643</v>
      </c>
      <c r="V274" s="259">
        <f t="shared" si="94"/>
        <v>109643</v>
      </c>
      <c r="W274" s="283">
        <f aca="true" t="shared" si="95" ref="W274:W280">J274+K274+L274+M274+N274+P274+R274+T274+V274</f>
        <v>1222403.6</v>
      </c>
      <c r="X274" s="284">
        <v>2024</v>
      </c>
      <c r="Y274" s="140">
        <f t="shared" si="90"/>
        <v>16573.6</v>
      </c>
      <c r="Z274" s="141">
        <f t="shared" si="91"/>
        <v>4780.5</v>
      </c>
      <c r="AA274" s="140">
        <f t="shared" si="92"/>
        <v>0</v>
      </c>
      <c r="AB274" s="140">
        <f t="shared" si="93"/>
        <v>0</v>
      </c>
    </row>
    <row r="275" spans="1:28" s="2" customFormat="1" ht="12.75">
      <c r="A275" s="21" t="s">
        <v>19</v>
      </c>
      <c r="B275" s="22">
        <v>1</v>
      </c>
      <c r="C275" s="22">
        <v>2</v>
      </c>
      <c r="D275" s="22">
        <v>0</v>
      </c>
      <c r="E275" s="22">
        <v>0</v>
      </c>
      <c r="F275" s="22">
        <v>0</v>
      </c>
      <c r="G275" s="22">
        <v>3</v>
      </c>
      <c r="H275" s="26" t="s">
        <v>22</v>
      </c>
      <c r="I275" s="22" t="s">
        <v>21</v>
      </c>
      <c r="J275" s="64">
        <f aca="true" t="shared" si="96" ref="J275:V275">J279+J297+J318</f>
        <v>23599</v>
      </c>
      <c r="K275" s="64">
        <f t="shared" si="96"/>
        <v>82096.2</v>
      </c>
      <c r="L275" s="64">
        <f t="shared" si="96"/>
        <v>155984.5</v>
      </c>
      <c r="M275" s="65">
        <f t="shared" si="96"/>
        <v>237219.9</v>
      </c>
      <c r="N275" s="65">
        <v>150352.3</v>
      </c>
      <c r="O275" s="65">
        <v>147168.5</v>
      </c>
      <c r="P275" s="260">
        <f>P279+P297+P318</f>
        <v>162551.8</v>
      </c>
      <c r="Q275" s="260">
        <v>109643</v>
      </c>
      <c r="R275" s="260">
        <f t="shared" si="96"/>
        <v>114423.5</v>
      </c>
      <c r="S275" s="260">
        <v>109643</v>
      </c>
      <c r="T275" s="260">
        <f t="shared" si="96"/>
        <v>109643</v>
      </c>
      <c r="U275" s="260">
        <v>109643</v>
      </c>
      <c r="V275" s="260">
        <f t="shared" si="96"/>
        <v>109643</v>
      </c>
      <c r="W275" s="285">
        <f t="shared" si="95"/>
        <v>1145513.2</v>
      </c>
      <c r="X275" s="286">
        <v>2024</v>
      </c>
      <c r="Y275" s="140">
        <f t="shared" si="90"/>
        <v>15383.3</v>
      </c>
      <c r="Z275" s="141">
        <f t="shared" si="91"/>
        <v>4780.5</v>
      </c>
      <c r="AA275" s="140">
        <f t="shared" si="92"/>
        <v>0</v>
      </c>
      <c r="AB275" s="140">
        <f t="shared" si="93"/>
        <v>0</v>
      </c>
    </row>
    <row r="276" spans="1:28" s="2" customFormat="1" ht="12.75">
      <c r="A276" s="21" t="s">
        <v>19</v>
      </c>
      <c r="B276" s="22">
        <v>1</v>
      </c>
      <c r="C276" s="22">
        <v>2</v>
      </c>
      <c r="D276" s="22">
        <v>0</v>
      </c>
      <c r="E276" s="22">
        <v>0</v>
      </c>
      <c r="F276" s="22">
        <v>0</v>
      </c>
      <c r="G276" s="22">
        <v>2</v>
      </c>
      <c r="H276" s="26" t="s">
        <v>23</v>
      </c>
      <c r="I276" s="22" t="s">
        <v>21</v>
      </c>
      <c r="J276" s="64">
        <f>J280+J319</f>
        <v>5966.4</v>
      </c>
      <c r="K276" s="64">
        <f>K280+K319</f>
        <v>2050.1</v>
      </c>
      <c r="L276" s="64">
        <f>L280+L319</f>
        <v>2651.2</v>
      </c>
      <c r="M276" s="65">
        <f>M280+M319+M298</f>
        <v>18346.7</v>
      </c>
      <c r="N276" s="65">
        <v>20002.4</v>
      </c>
      <c r="O276" s="65">
        <v>25200</v>
      </c>
      <c r="P276" s="260">
        <f>P280+P319+P298</f>
        <v>26390.3</v>
      </c>
      <c r="Q276" s="260">
        <v>0</v>
      </c>
      <c r="R276" s="260">
        <v>0</v>
      </c>
      <c r="S276" s="260">
        <v>0</v>
      </c>
      <c r="T276" s="260">
        <f>T280+T319</f>
        <v>0</v>
      </c>
      <c r="U276" s="260">
        <v>0</v>
      </c>
      <c r="V276" s="260">
        <f>V280+V319</f>
        <v>0</v>
      </c>
      <c r="W276" s="285">
        <f t="shared" si="95"/>
        <v>75407.1</v>
      </c>
      <c r="X276" s="287">
        <v>2021</v>
      </c>
      <c r="Y276" s="140">
        <f t="shared" si="90"/>
        <v>1190.3</v>
      </c>
      <c r="Z276" s="141">
        <f t="shared" si="91"/>
        <v>0</v>
      </c>
      <c r="AA276" s="140">
        <f t="shared" si="92"/>
        <v>0</v>
      </c>
      <c r="AB276" s="140">
        <f t="shared" si="93"/>
        <v>0</v>
      </c>
    </row>
    <row r="277" spans="1:28" s="2" customFormat="1" ht="12.75">
      <c r="A277" s="21" t="s">
        <v>19</v>
      </c>
      <c r="B277" s="22">
        <v>1</v>
      </c>
      <c r="C277" s="22">
        <v>2</v>
      </c>
      <c r="D277" s="22">
        <v>0</v>
      </c>
      <c r="E277" s="22">
        <v>0</v>
      </c>
      <c r="F277" s="22">
        <v>0</v>
      </c>
      <c r="G277" s="22">
        <v>1</v>
      </c>
      <c r="H277" s="26" t="s">
        <v>24</v>
      </c>
      <c r="I277" s="22" t="s">
        <v>21</v>
      </c>
      <c r="J277" s="64">
        <f>J320</f>
        <v>1483.3</v>
      </c>
      <c r="K277" s="64">
        <v>0</v>
      </c>
      <c r="L277" s="64">
        <v>0</v>
      </c>
      <c r="M277" s="65">
        <v>0</v>
      </c>
      <c r="N277" s="65">
        <v>0</v>
      </c>
      <c r="O277" s="65">
        <v>0</v>
      </c>
      <c r="P277" s="260">
        <v>0</v>
      </c>
      <c r="Q277" s="260">
        <v>0</v>
      </c>
      <c r="R277" s="260">
        <v>0</v>
      </c>
      <c r="S277" s="260">
        <v>0</v>
      </c>
      <c r="T277" s="260">
        <f>T320</f>
        <v>0</v>
      </c>
      <c r="U277" s="260">
        <v>0</v>
      </c>
      <c r="V277" s="260">
        <f>V320</f>
        <v>0</v>
      </c>
      <c r="W277" s="64">
        <f t="shared" si="95"/>
        <v>1483.3</v>
      </c>
      <c r="X277" s="28">
        <v>2016</v>
      </c>
      <c r="Y277" s="140">
        <f t="shared" si="90"/>
        <v>0</v>
      </c>
      <c r="Z277" s="141">
        <f t="shared" si="91"/>
        <v>0</v>
      </c>
      <c r="AA277" s="140">
        <f t="shared" si="92"/>
        <v>0</v>
      </c>
      <c r="AB277" s="140">
        <f t="shared" si="93"/>
        <v>0</v>
      </c>
    </row>
    <row r="278" spans="1:28" s="2" customFormat="1" ht="38.25">
      <c r="A278" s="160" t="s">
        <v>19</v>
      </c>
      <c r="B278" s="34">
        <v>1</v>
      </c>
      <c r="C278" s="34">
        <v>2</v>
      </c>
      <c r="D278" s="34">
        <v>1</v>
      </c>
      <c r="E278" s="34">
        <v>0</v>
      </c>
      <c r="F278" s="34">
        <v>0</v>
      </c>
      <c r="G278" s="34"/>
      <c r="H278" s="35" t="s">
        <v>234</v>
      </c>
      <c r="I278" s="34" t="s">
        <v>21</v>
      </c>
      <c r="J278" s="81">
        <f aca="true" t="shared" si="97" ref="J278:V278">J279+J280</f>
        <v>0</v>
      </c>
      <c r="K278" s="81">
        <f t="shared" si="97"/>
        <v>490</v>
      </c>
      <c r="L278" s="81">
        <f t="shared" si="97"/>
        <v>14301</v>
      </c>
      <c r="M278" s="81">
        <f t="shared" si="97"/>
        <v>11757.6</v>
      </c>
      <c r="N278" s="81">
        <v>17183.2</v>
      </c>
      <c r="O278" s="81">
        <v>13891.3</v>
      </c>
      <c r="P278" s="261">
        <f>P279+P280</f>
        <v>12296.7</v>
      </c>
      <c r="Q278" s="261">
        <v>9757.8</v>
      </c>
      <c r="R278" s="261">
        <f t="shared" si="97"/>
        <v>9757.8</v>
      </c>
      <c r="S278" s="261">
        <v>0</v>
      </c>
      <c r="T278" s="261">
        <f t="shared" si="97"/>
        <v>0</v>
      </c>
      <c r="U278" s="261">
        <v>0</v>
      </c>
      <c r="V278" s="261">
        <f t="shared" si="97"/>
        <v>0</v>
      </c>
      <c r="W278" s="81">
        <f t="shared" si="95"/>
        <v>65786.3</v>
      </c>
      <c r="X278" s="34">
        <v>2022</v>
      </c>
      <c r="Y278" s="140">
        <f t="shared" si="90"/>
        <v>-1594.6</v>
      </c>
      <c r="Z278" s="141">
        <f t="shared" si="91"/>
        <v>0</v>
      </c>
      <c r="AA278" s="140">
        <f t="shared" si="92"/>
        <v>0</v>
      </c>
      <c r="AB278" s="140">
        <f t="shared" si="93"/>
        <v>0</v>
      </c>
    </row>
    <row r="279" spans="1:28" s="2" customFormat="1" ht="12.75">
      <c r="A279" s="21" t="s">
        <v>19</v>
      </c>
      <c r="B279" s="22">
        <v>1</v>
      </c>
      <c r="C279" s="22">
        <v>2</v>
      </c>
      <c r="D279" s="22">
        <v>1</v>
      </c>
      <c r="E279" s="22">
        <v>0</v>
      </c>
      <c r="F279" s="22">
        <v>0</v>
      </c>
      <c r="G279" s="22">
        <v>3</v>
      </c>
      <c r="H279" s="26" t="s">
        <v>22</v>
      </c>
      <c r="I279" s="22" t="s">
        <v>21</v>
      </c>
      <c r="J279" s="138">
        <f aca="true" t="shared" si="98" ref="J279:V279">J286+J291</f>
        <v>0</v>
      </c>
      <c r="K279" s="138">
        <f t="shared" si="98"/>
        <v>490</v>
      </c>
      <c r="L279" s="138">
        <f t="shared" si="98"/>
        <v>13801</v>
      </c>
      <c r="M279" s="91">
        <f t="shared" si="98"/>
        <v>9257.6</v>
      </c>
      <c r="N279" s="91">
        <v>13183.2</v>
      </c>
      <c r="O279" s="91">
        <v>13891.3</v>
      </c>
      <c r="P279" s="262">
        <f>P286+P291</f>
        <v>12296.7</v>
      </c>
      <c r="Q279" s="262">
        <v>9757.8</v>
      </c>
      <c r="R279" s="262">
        <f t="shared" si="98"/>
        <v>9757.8</v>
      </c>
      <c r="S279" s="262">
        <v>0</v>
      </c>
      <c r="T279" s="262">
        <f t="shared" si="98"/>
        <v>0</v>
      </c>
      <c r="U279" s="262">
        <v>0</v>
      </c>
      <c r="V279" s="262">
        <f t="shared" si="98"/>
        <v>0</v>
      </c>
      <c r="W279" s="138">
        <f t="shared" si="95"/>
        <v>58786.3</v>
      </c>
      <c r="X279" s="22">
        <v>2022</v>
      </c>
      <c r="Y279" s="140">
        <f t="shared" si="90"/>
        <v>-1594.6</v>
      </c>
      <c r="Z279" s="141">
        <f t="shared" si="91"/>
        <v>0</v>
      </c>
      <c r="AA279" s="140">
        <f t="shared" si="92"/>
        <v>0</v>
      </c>
      <c r="AB279" s="140">
        <f t="shared" si="93"/>
        <v>0</v>
      </c>
    </row>
    <row r="280" spans="1:28" s="2" customFormat="1" ht="12.75">
      <c r="A280" s="21" t="s">
        <v>19</v>
      </c>
      <c r="B280" s="22">
        <v>1</v>
      </c>
      <c r="C280" s="22">
        <v>2</v>
      </c>
      <c r="D280" s="22">
        <v>1</v>
      </c>
      <c r="E280" s="22">
        <v>0</v>
      </c>
      <c r="F280" s="22">
        <v>0</v>
      </c>
      <c r="G280" s="22">
        <v>2</v>
      </c>
      <c r="H280" s="26" t="s">
        <v>23</v>
      </c>
      <c r="I280" s="22" t="s">
        <v>21</v>
      </c>
      <c r="J280" s="138">
        <f>J287</f>
        <v>0</v>
      </c>
      <c r="K280" s="138">
        <f>K287</f>
        <v>0</v>
      </c>
      <c r="L280" s="138">
        <f>L287</f>
        <v>500</v>
      </c>
      <c r="M280" s="91">
        <f>M287</f>
        <v>2500</v>
      </c>
      <c r="N280" s="91">
        <v>4000</v>
      </c>
      <c r="O280" s="91">
        <v>0</v>
      </c>
      <c r="P280" s="262">
        <v>0</v>
      </c>
      <c r="Q280" s="262">
        <v>0</v>
      </c>
      <c r="R280" s="262">
        <v>0</v>
      </c>
      <c r="S280" s="262">
        <v>0</v>
      </c>
      <c r="T280" s="262">
        <f>T287</f>
        <v>0</v>
      </c>
      <c r="U280" s="262">
        <v>0</v>
      </c>
      <c r="V280" s="262">
        <f>V287</f>
        <v>0</v>
      </c>
      <c r="W280" s="138">
        <f t="shared" si="95"/>
        <v>7000</v>
      </c>
      <c r="X280" s="22">
        <v>2020</v>
      </c>
      <c r="Y280" s="140">
        <f t="shared" si="90"/>
        <v>0</v>
      </c>
      <c r="Z280" s="141">
        <f t="shared" si="91"/>
        <v>0</v>
      </c>
      <c r="AA280" s="140">
        <f t="shared" si="92"/>
        <v>0</v>
      </c>
      <c r="AB280" s="140">
        <f t="shared" si="93"/>
        <v>0</v>
      </c>
    </row>
    <row r="281" spans="1:28" ht="51">
      <c r="A281" s="21" t="s">
        <v>19</v>
      </c>
      <c r="B281" s="22">
        <v>1</v>
      </c>
      <c r="C281" s="22">
        <v>2</v>
      </c>
      <c r="D281" s="22">
        <v>1</v>
      </c>
      <c r="E281" s="22">
        <v>0</v>
      </c>
      <c r="F281" s="22">
        <v>0</v>
      </c>
      <c r="G281" s="43"/>
      <c r="H281" s="44" t="s">
        <v>235</v>
      </c>
      <c r="I281" s="43" t="s">
        <v>28</v>
      </c>
      <c r="J281" s="129">
        <v>26.5</v>
      </c>
      <c r="K281" s="129">
        <v>31.3</v>
      </c>
      <c r="L281" s="129">
        <v>43.3</v>
      </c>
      <c r="M281" s="77">
        <v>60.9</v>
      </c>
      <c r="N281" s="77">
        <v>71.9</v>
      </c>
      <c r="O281" s="77">
        <v>75</v>
      </c>
      <c r="P281" s="263">
        <v>75</v>
      </c>
      <c r="Q281" s="263">
        <v>76.6</v>
      </c>
      <c r="R281" s="263">
        <v>76.6</v>
      </c>
      <c r="S281" s="263">
        <v>76.6</v>
      </c>
      <c r="T281" s="263">
        <v>76.6</v>
      </c>
      <c r="U281" s="263">
        <v>76.6</v>
      </c>
      <c r="V281" s="263">
        <v>76.6</v>
      </c>
      <c r="W281" s="129">
        <f>V281</f>
        <v>76.6</v>
      </c>
      <c r="X281" s="43">
        <v>2024</v>
      </c>
      <c r="Y281" s="140">
        <f t="shared" si="90"/>
        <v>0</v>
      </c>
      <c r="Z281" s="141">
        <f t="shared" si="91"/>
        <v>0</v>
      </c>
      <c r="AA281" s="140">
        <f t="shared" si="92"/>
        <v>0</v>
      </c>
      <c r="AB281" s="140">
        <f t="shared" si="93"/>
        <v>0</v>
      </c>
    </row>
    <row r="282" spans="1:28" ht="38.25">
      <c r="A282" s="21" t="s">
        <v>19</v>
      </c>
      <c r="B282" s="22">
        <v>1</v>
      </c>
      <c r="C282" s="22">
        <v>2</v>
      </c>
      <c r="D282" s="22">
        <v>1</v>
      </c>
      <c r="E282" s="22">
        <v>0</v>
      </c>
      <c r="F282" s="22">
        <v>0</v>
      </c>
      <c r="G282" s="43"/>
      <c r="H282" s="44" t="s">
        <v>236</v>
      </c>
      <c r="I282" s="43" t="s">
        <v>28</v>
      </c>
      <c r="J282" s="120">
        <v>65</v>
      </c>
      <c r="K282" s="120">
        <v>64.5</v>
      </c>
      <c r="L282" s="129">
        <v>64</v>
      </c>
      <c r="M282" s="72">
        <v>63.5</v>
      </c>
      <c r="N282" s="72">
        <v>63</v>
      </c>
      <c r="O282" s="72">
        <v>62.5</v>
      </c>
      <c r="P282" s="264">
        <v>62.5</v>
      </c>
      <c r="Q282" s="264">
        <v>62</v>
      </c>
      <c r="R282" s="264">
        <v>62</v>
      </c>
      <c r="S282" s="264">
        <v>61.6</v>
      </c>
      <c r="T282" s="264">
        <v>61.6</v>
      </c>
      <c r="U282" s="264">
        <v>60.9</v>
      </c>
      <c r="V282" s="264">
        <v>60.9</v>
      </c>
      <c r="W282" s="129">
        <f>V282</f>
        <v>60.9</v>
      </c>
      <c r="X282" s="43">
        <v>2024</v>
      </c>
      <c r="Y282" s="140">
        <f t="shared" si="90"/>
        <v>0</v>
      </c>
      <c r="Z282" s="141">
        <f t="shared" si="91"/>
        <v>0</v>
      </c>
      <c r="AA282" s="140">
        <f t="shared" si="92"/>
        <v>0</v>
      </c>
      <c r="AB282" s="140">
        <f t="shared" si="93"/>
        <v>0</v>
      </c>
    </row>
    <row r="283" spans="1:28" ht="51">
      <c r="A283" s="36" t="s">
        <v>19</v>
      </c>
      <c r="B283" s="37">
        <v>1</v>
      </c>
      <c r="C283" s="37">
        <v>2</v>
      </c>
      <c r="D283" s="37">
        <v>1</v>
      </c>
      <c r="E283" s="37">
        <v>0</v>
      </c>
      <c r="F283" s="37">
        <v>1</v>
      </c>
      <c r="G283" s="38"/>
      <c r="H283" s="39" t="s">
        <v>237</v>
      </c>
      <c r="I283" s="38" t="s">
        <v>43</v>
      </c>
      <c r="J283" s="87" t="s">
        <v>112</v>
      </c>
      <c r="K283" s="87" t="s">
        <v>44</v>
      </c>
      <c r="L283" s="87" t="s">
        <v>44</v>
      </c>
      <c r="M283" s="125" t="s">
        <v>44</v>
      </c>
      <c r="N283" s="125" t="s">
        <v>44</v>
      </c>
      <c r="O283" s="125" t="s">
        <v>44</v>
      </c>
      <c r="P283" s="265" t="s">
        <v>44</v>
      </c>
      <c r="Q283" s="265" t="s">
        <v>44</v>
      </c>
      <c r="R283" s="265" t="s">
        <v>44</v>
      </c>
      <c r="S283" s="265" t="s">
        <v>44</v>
      </c>
      <c r="T283" s="265" t="s">
        <v>44</v>
      </c>
      <c r="U283" s="265" t="s">
        <v>44</v>
      </c>
      <c r="V283" s="265" t="s">
        <v>44</v>
      </c>
      <c r="W283" s="87" t="s">
        <v>44</v>
      </c>
      <c r="X283" s="38">
        <v>2024</v>
      </c>
      <c r="Y283" s="140"/>
      <c r="Z283" s="141"/>
      <c r="AA283" s="140"/>
      <c r="AB283" s="140"/>
    </row>
    <row r="284" spans="1:28" ht="63.75">
      <c r="A284" s="21" t="s">
        <v>19</v>
      </c>
      <c r="B284" s="22">
        <v>1</v>
      </c>
      <c r="C284" s="22">
        <v>2</v>
      </c>
      <c r="D284" s="22">
        <v>1</v>
      </c>
      <c r="E284" s="22">
        <v>0</v>
      </c>
      <c r="F284" s="22">
        <v>1</v>
      </c>
      <c r="G284" s="43"/>
      <c r="H284" s="44" t="s">
        <v>238</v>
      </c>
      <c r="I284" s="43" t="s">
        <v>57</v>
      </c>
      <c r="J284" s="266">
        <v>0</v>
      </c>
      <c r="K284" s="266">
        <v>1</v>
      </c>
      <c r="L284" s="266">
        <v>1</v>
      </c>
      <c r="M284" s="267">
        <v>1</v>
      </c>
      <c r="N284" s="267">
        <v>1</v>
      </c>
      <c r="O284" s="267">
        <v>1</v>
      </c>
      <c r="P284" s="268">
        <v>1</v>
      </c>
      <c r="Q284" s="268">
        <v>1</v>
      </c>
      <c r="R284" s="268">
        <v>1</v>
      </c>
      <c r="S284" s="268">
        <v>1</v>
      </c>
      <c r="T284" s="268">
        <v>1</v>
      </c>
      <c r="U284" s="268">
        <v>1</v>
      </c>
      <c r="V284" s="268">
        <v>1</v>
      </c>
      <c r="W284" s="266">
        <f aca="true" t="shared" si="99" ref="W284:W294">J284+K284+L284+M284+N284+P284+R284+T284+V284</f>
        <v>8</v>
      </c>
      <c r="X284" s="43">
        <v>2024</v>
      </c>
      <c r="Y284" s="140">
        <f aca="true" t="shared" si="100" ref="Y284:Y294">P284-O284</f>
        <v>0</v>
      </c>
      <c r="Z284" s="141">
        <f aca="true" t="shared" si="101" ref="Z284:Z294">R284-Q284</f>
        <v>0</v>
      </c>
      <c r="AA284" s="140">
        <f aca="true" t="shared" si="102" ref="AA284:AA294">T284-S284</f>
        <v>0</v>
      </c>
      <c r="AB284" s="140">
        <f aca="true" t="shared" si="103" ref="AB284:AB294">V284-U284</f>
        <v>0</v>
      </c>
    </row>
    <row r="285" spans="1:28" s="2" customFormat="1" ht="25.5">
      <c r="A285" s="36" t="s">
        <v>19</v>
      </c>
      <c r="B285" s="37">
        <v>1</v>
      </c>
      <c r="C285" s="37">
        <v>2</v>
      </c>
      <c r="D285" s="37">
        <v>1</v>
      </c>
      <c r="E285" s="37">
        <v>0</v>
      </c>
      <c r="F285" s="37">
        <v>2</v>
      </c>
      <c r="G285" s="37"/>
      <c r="H285" s="40" t="s">
        <v>239</v>
      </c>
      <c r="I285" s="37" t="s">
        <v>21</v>
      </c>
      <c r="J285" s="88">
        <f>J286+J287</f>
        <v>0</v>
      </c>
      <c r="K285" s="88">
        <f>K286+K287</f>
        <v>0</v>
      </c>
      <c r="L285" s="88">
        <f>L286+L287</f>
        <v>5642.1</v>
      </c>
      <c r="M285" s="89">
        <f>M286+M287</f>
        <v>8168.8</v>
      </c>
      <c r="N285" s="89">
        <v>14906.6</v>
      </c>
      <c r="O285" s="89">
        <v>8875.6</v>
      </c>
      <c r="P285" s="269">
        <f>P286</f>
        <v>7281</v>
      </c>
      <c r="Q285" s="269">
        <v>9757.8</v>
      </c>
      <c r="R285" s="269">
        <f>R286</f>
        <v>9757.8</v>
      </c>
      <c r="S285" s="269">
        <v>0</v>
      </c>
      <c r="T285" s="269">
        <f>T286</f>
        <v>0</v>
      </c>
      <c r="U285" s="269">
        <v>0</v>
      </c>
      <c r="V285" s="269">
        <f>V286</f>
        <v>0</v>
      </c>
      <c r="W285" s="88">
        <f t="shared" si="99"/>
        <v>45756.3</v>
      </c>
      <c r="X285" s="37">
        <v>2022</v>
      </c>
      <c r="Y285" s="140">
        <f t="shared" si="100"/>
        <v>-1594.6</v>
      </c>
      <c r="Z285" s="141">
        <f t="shared" si="101"/>
        <v>0</v>
      </c>
      <c r="AA285" s="140">
        <f t="shared" si="102"/>
        <v>0</v>
      </c>
      <c r="AB285" s="140">
        <f t="shared" si="103"/>
        <v>0</v>
      </c>
    </row>
    <row r="286" spans="1:28" s="2" customFormat="1" ht="12.75">
      <c r="A286" s="21" t="s">
        <v>19</v>
      </c>
      <c r="B286" s="22">
        <v>1</v>
      </c>
      <c r="C286" s="22">
        <v>2</v>
      </c>
      <c r="D286" s="22">
        <v>1</v>
      </c>
      <c r="E286" s="22">
        <v>0</v>
      </c>
      <c r="F286" s="22">
        <v>2</v>
      </c>
      <c r="G286" s="22">
        <v>3</v>
      </c>
      <c r="H286" s="26" t="s">
        <v>22</v>
      </c>
      <c r="I286" s="22" t="s">
        <v>21</v>
      </c>
      <c r="J286" s="138">
        <v>0</v>
      </c>
      <c r="K286" s="138">
        <v>0</v>
      </c>
      <c r="L286" s="138">
        <v>5142.1</v>
      </c>
      <c r="M286" s="91">
        <v>5668.8</v>
      </c>
      <c r="N286" s="91">
        <v>10906.6</v>
      </c>
      <c r="O286" s="91">
        <v>8875.6</v>
      </c>
      <c r="P286" s="262">
        <v>7281</v>
      </c>
      <c r="Q286" s="262">
        <v>9757.8</v>
      </c>
      <c r="R286" s="262">
        <v>9757.8</v>
      </c>
      <c r="S286" s="262">
        <v>0</v>
      </c>
      <c r="T286" s="262">
        <v>0</v>
      </c>
      <c r="U286" s="262">
        <v>0</v>
      </c>
      <c r="V286" s="262">
        <v>0</v>
      </c>
      <c r="W286" s="138">
        <f t="shared" si="99"/>
        <v>38756.3</v>
      </c>
      <c r="X286" s="22">
        <v>2022</v>
      </c>
      <c r="Y286" s="140">
        <f t="shared" si="100"/>
        <v>-1594.6</v>
      </c>
      <c r="Z286" s="141">
        <f t="shared" si="101"/>
        <v>0</v>
      </c>
      <c r="AA286" s="140">
        <f t="shared" si="102"/>
        <v>0</v>
      </c>
      <c r="AB286" s="140">
        <f t="shared" si="103"/>
        <v>0</v>
      </c>
    </row>
    <row r="287" spans="1:28" s="2" customFormat="1" ht="12.75">
      <c r="A287" s="21" t="s">
        <v>19</v>
      </c>
      <c r="B287" s="22">
        <v>1</v>
      </c>
      <c r="C287" s="22">
        <v>2</v>
      </c>
      <c r="D287" s="22">
        <v>1</v>
      </c>
      <c r="E287" s="22">
        <v>0</v>
      </c>
      <c r="F287" s="22">
        <v>2</v>
      </c>
      <c r="G287" s="22">
        <v>2</v>
      </c>
      <c r="H287" s="26" t="s">
        <v>23</v>
      </c>
      <c r="I287" s="22" t="s">
        <v>21</v>
      </c>
      <c r="J287" s="138">
        <v>0</v>
      </c>
      <c r="K287" s="138">
        <v>0</v>
      </c>
      <c r="L287" s="138">
        <v>500</v>
      </c>
      <c r="M287" s="91">
        <v>2500</v>
      </c>
      <c r="N287" s="91">
        <v>4000</v>
      </c>
      <c r="O287" s="91">
        <v>0</v>
      </c>
      <c r="P287" s="262">
        <v>0</v>
      </c>
      <c r="Q287" s="262"/>
      <c r="R287" s="262"/>
      <c r="S287" s="262"/>
      <c r="T287" s="262"/>
      <c r="U287" s="262"/>
      <c r="V287" s="262"/>
      <c r="W287" s="138">
        <f t="shared" si="99"/>
        <v>7000</v>
      </c>
      <c r="X287" s="22">
        <v>2020</v>
      </c>
      <c r="Y287" s="140">
        <f t="shared" si="100"/>
        <v>0</v>
      </c>
      <c r="Z287" s="141">
        <f t="shared" si="101"/>
        <v>0</v>
      </c>
      <c r="AA287" s="140">
        <f t="shared" si="102"/>
        <v>0</v>
      </c>
      <c r="AB287" s="140">
        <f t="shared" si="103"/>
        <v>0</v>
      </c>
    </row>
    <row r="288" spans="1:28" ht="25.5">
      <c r="A288" s="21" t="s">
        <v>19</v>
      </c>
      <c r="B288" s="22">
        <v>1</v>
      </c>
      <c r="C288" s="22">
        <v>2</v>
      </c>
      <c r="D288" s="22">
        <v>1</v>
      </c>
      <c r="E288" s="22">
        <v>0</v>
      </c>
      <c r="F288" s="22">
        <v>2</v>
      </c>
      <c r="G288" s="43"/>
      <c r="H288" s="46" t="s">
        <v>240</v>
      </c>
      <c r="I288" s="43" t="s">
        <v>57</v>
      </c>
      <c r="J288" s="131">
        <v>0</v>
      </c>
      <c r="K288" s="131">
        <v>0</v>
      </c>
      <c r="L288" s="131">
        <v>1</v>
      </c>
      <c r="M288" s="95">
        <v>4</v>
      </c>
      <c r="N288" s="95">
        <v>3</v>
      </c>
      <c r="O288" s="95">
        <v>1</v>
      </c>
      <c r="P288" s="270">
        <v>1</v>
      </c>
      <c r="Q288" s="270">
        <v>1</v>
      </c>
      <c r="R288" s="270">
        <v>1</v>
      </c>
      <c r="S288" s="270">
        <v>0</v>
      </c>
      <c r="T288" s="270">
        <v>0</v>
      </c>
      <c r="U288" s="270">
        <v>0</v>
      </c>
      <c r="V288" s="270">
        <v>0</v>
      </c>
      <c r="W288" s="131">
        <f t="shared" si="99"/>
        <v>10</v>
      </c>
      <c r="X288" s="43">
        <v>2022</v>
      </c>
      <c r="Y288" s="140">
        <f t="shared" si="100"/>
        <v>0</v>
      </c>
      <c r="Z288" s="141">
        <f t="shared" si="101"/>
        <v>0</v>
      </c>
      <c r="AA288" s="140">
        <f t="shared" si="102"/>
        <v>0</v>
      </c>
      <c r="AB288" s="140">
        <f t="shared" si="103"/>
        <v>0</v>
      </c>
    </row>
    <row r="289" spans="1:28" ht="25.5">
      <c r="A289" s="21" t="s">
        <v>19</v>
      </c>
      <c r="B289" s="22">
        <v>1</v>
      </c>
      <c r="C289" s="22">
        <v>2</v>
      </c>
      <c r="D289" s="22">
        <v>1</v>
      </c>
      <c r="E289" s="22">
        <v>0</v>
      </c>
      <c r="F289" s="22">
        <v>2</v>
      </c>
      <c r="G289" s="43"/>
      <c r="H289" s="46" t="s">
        <v>241</v>
      </c>
      <c r="I289" s="43" t="s">
        <v>242</v>
      </c>
      <c r="J289" s="129">
        <v>0</v>
      </c>
      <c r="K289" s="129">
        <v>0</v>
      </c>
      <c r="L289" s="129">
        <v>1191.1</v>
      </c>
      <c r="M289" s="72">
        <v>1790</v>
      </c>
      <c r="N289" s="72">
        <v>3363</v>
      </c>
      <c r="O289" s="72">
        <v>1640</v>
      </c>
      <c r="P289" s="264">
        <v>1640</v>
      </c>
      <c r="Q289" s="264">
        <v>1640</v>
      </c>
      <c r="R289" s="264">
        <v>1640</v>
      </c>
      <c r="S289" s="264">
        <v>0</v>
      </c>
      <c r="T289" s="264">
        <v>0</v>
      </c>
      <c r="U289" s="264">
        <v>0</v>
      </c>
      <c r="V289" s="264">
        <v>0</v>
      </c>
      <c r="W289" s="120">
        <f t="shared" si="99"/>
        <v>9624.1</v>
      </c>
      <c r="X289" s="43">
        <v>2022</v>
      </c>
      <c r="Y289" s="140">
        <f t="shared" si="100"/>
        <v>0</v>
      </c>
      <c r="Z289" s="141">
        <f t="shared" si="101"/>
        <v>0</v>
      </c>
      <c r="AA289" s="140">
        <f t="shared" si="102"/>
        <v>0</v>
      </c>
      <c r="AB289" s="140">
        <f t="shared" si="103"/>
        <v>0</v>
      </c>
    </row>
    <row r="290" spans="1:28" s="2" customFormat="1" ht="51">
      <c r="A290" s="36" t="s">
        <v>19</v>
      </c>
      <c r="B290" s="37">
        <v>1</v>
      </c>
      <c r="C290" s="37">
        <v>2</v>
      </c>
      <c r="D290" s="37">
        <v>1</v>
      </c>
      <c r="E290" s="37">
        <v>0</v>
      </c>
      <c r="F290" s="37">
        <v>3</v>
      </c>
      <c r="G290" s="37"/>
      <c r="H290" s="40" t="s">
        <v>243</v>
      </c>
      <c r="I290" s="37" t="s">
        <v>21</v>
      </c>
      <c r="J290" s="88">
        <f aca="true" t="shared" si="104" ref="J290:V290">J291</f>
        <v>0</v>
      </c>
      <c r="K290" s="88">
        <f t="shared" si="104"/>
        <v>490</v>
      </c>
      <c r="L290" s="88">
        <f t="shared" si="104"/>
        <v>8658.9</v>
      </c>
      <c r="M290" s="89">
        <f t="shared" si="104"/>
        <v>3588.8</v>
      </c>
      <c r="N290" s="89">
        <v>2276.6</v>
      </c>
      <c r="O290" s="89">
        <v>5015.7</v>
      </c>
      <c r="P290" s="269">
        <f t="shared" si="104"/>
        <v>5015.7</v>
      </c>
      <c r="Q290" s="269">
        <v>0</v>
      </c>
      <c r="R290" s="269">
        <f t="shared" si="104"/>
        <v>0</v>
      </c>
      <c r="S290" s="269">
        <v>0</v>
      </c>
      <c r="T290" s="269">
        <f t="shared" si="104"/>
        <v>0</v>
      </c>
      <c r="U290" s="269">
        <v>0</v>
      </c>
      <c r="V290" s="269">
        <f t="shared" si="104"/>
        <v>0</v>
      </c>
      <c r="W290" s="88">
        <f t="shared" si="99"/>
        <v>20030</v>
      </c>
      <c r="X290" s="37">
        <v>2021</v>
      </c>
      <c r="Y290" s="140">
        <f t="shared" si="100"/>
        <v>0</v>
      </c>
      <c r="Z290" s="141">
        <f t="shared" si="101"/>
        <v>0</v>
      </c>
      <c r="AA290" s="140">
        <f t="shared" si="102"/>
        <v>0</v>
      </c>
      <c r="AB290" s="140">
        <f t="shared" si="103"/>
        <v>0</v>
      </c>
    </row>
    <row r="291" spans="1:28" s="2" customFormat="1" ht="12.75">
      <c r="A291" s="21" t="s">
        <v>19</v>
      </c>
      <c r="B291" s="22">
        <v>1</v>
      </c>
      <c r="C291" s="22">
        <v>2</v>
      </c>
      <c r="D291" s="22">
        <v>1</v>
      </c>
      <c r="E291" s="22">
        <v>0</v>
      </c>
      <c r="F291" s="22">
        <v>3</v>
      </c>
      <c r="G291" s="22">
        <v>3</v>
      </c>
      <c r="H291" s="26" t="s">
        <v>22</v>
      </c>
      <c r="I291" s="22" t="s">
        <v>21</v>
      </c>
      <c r="J291" s="138">
        <v>0</v>
      </c>
      <c r="K291" s="138">
        <v>490</v>
      </c>
      <c r="L291" s="138">
        <v>8658.9</v>
      </c>
      <c r="M291" s="91">
        <v>3588.8</v>
      </c>
      <c r="N291" s="91">
        <v>2276.6</v>
      </c>
      <c r="O291" s="91">
        <v>5015.7</v>
      </c>
      <c r="P291" s="262">
        <v>5015.7</v>
      </c>
      <c r="Q291" s="262">
        <v>0</v>
      </c>
      <c r="R291" s="262">
        <v>0</v>
      </c>
      <c r="S291" s="262">
        <v>0</v>
      </c>
      <c r="T291" s="262">
        <v>0</v>
      </c>
      <c r="U291" s="262">
        <v>0</v>
      </c>
      <c r="V291" s="262">
        <v>0</v>
      </c>
      <c r="W291" s="138">
        <f t="shared" si="99"/>
        <v>20030</v>
      </c>
      <c r="X291" s="22">
        <v>2021</v>
      </c>
      <c r="Y291" s="140">
        <f t="shared" si="100"/>
        <v>0</v>
      </c>
      <c r="Z291" s="141">
        <f t="shared" si="101"/>
        <v>0</v>
      </c>
      <c r="AA291" s="140">
        <f t="shared" si="102"/>
        <v>0</v>
      </c>
      <c r="AB291" s="140">
        <f t="shared" si="103"/>
        <v>0</v>
      </c>
    </row>
    <row r="292" spans="1:28" ht="25.5">
      <c r="A292" s="21" t="s">
        <v>19</v>
      </c>
      <c r="B292" s="22">
        <v>1</v>
      </c>
      <c r="C292" s="22">
        <v>2</v>
      </c>
      <c r="D292" s="22">
        <v>1</v>
      </c>
      <c r="E292" s="22">
        <v>0</v>
      </c>
      <c r="F292" s="22">
        <v>3</v>
      </c>
      <c r="G292" s="43"/>
      <c r="H292" s="46" t="s">
        <v>244</v>
      </c>
      <c r="I292" s="43" t="s">
        <v>57</v>
      </c>
      <c r="J292" s="131">
        <v>0</v>
      </c>
      <c r="K292" s="131">
        <v>2</v>
      </c>
      <c r="L292" s="131">
        <f>1+38</f>
        <v>39</v>
      </c>
      <c r="M292" s="95">
        <v>18</v>
      </c>
      <c r="N292" s="95">
        <v>10</v>
      </c>
      <c r="O292" s="95">
        <v>13</v>
      </c>
      <c r="P292" s="270">
        <v>16</v>
      </c>
      <c r="Q292" s="270">
        <v>0</v>
      </c>
      <c r="R292" s="270">
        <v>0</v>
      </c>
      <c r="S292" s="270">
        <v>0</v>
      </c>
      <c r="T292" s="270">
        <v>0</v>
      </c>
      <c r="U292" s="270">
        <v>0</v>
      </c>
      <c r="V292" s="270">
        <v>0</v>
      </c>
      <c r="W292" s="131">
        <f t="shared" si="99"/>
        <v>85</v>
      </c>
      <c r="X292" s="43">
        <v>2021</v>
      </c>
      <c r="Y292" s="140">
        <f t="shared" si="100"/>
        <v>3</v>
      </c>
      <c r="Z292" s="141">
        <f t="shared" si="101"/>
        <v>0</v>
      </c>
      <c r="AA292" s="140">
        <f t="shared" si="102"/>
        <v>0</v>
      </c>
      <c r="AB292" s="140">
        <f t="shared" si="103"/>
        <v>0</v>
      </c>
    </row>
    <row r="293" spans="1:28" ht="25.5">
      <c r="A293" s="21" t="s">
        <v>19</v>
      </c>
      <c r="B293" s="22">
        <v>1</v>
      </c>
      <c r="C293" s="22">
        <v>2</v>
      </c>
      <c r="D293" s="22">
        <v>1</v>
      </c>
      <c r="E293" s="22">
        <v>0</v>
      </c>
      <c r="F293" s="22">
        <v>3</v>
      </c>
      <c r="G293" s="43"/>
      <c r="H293" s="46" t="s">
        <v>245</v>
      </c>
      <c r="I293" s="43" t="s">
        <v>242</v>
      </c>
      <c r="J293" s="129">
        <v>0</v>
      </c>
      <c r="K293" s="129">
        <f>22.5*2</f>
        <v>45</v>
      </c>
      <c r="L293" s="129">
        <f>22.5*39</f>
        <v>877.5</v>
      </c>
      <c r="M293" s="77">
        <v>423.1</v>
      </c>
      <c r="N293" s="77">
        <v>225.4</v>
      </c>
      <c r="O293" s="77">
        <v>293</v>
      </c>
      <c r="P293" s="263">
        <v>360</v>
      </c>
      <c r="Q293" s="263">
        <v>0</v>
      </c>
      <c r="R293" s="263">
        <v>0</v>
      </c>
      <c r="S293" s="263">
        <v>0</v>
      </c>
      <c r="T293" s="263">
        <v>0</v>
      </c>
      <c r="U293" s="263">
        <v>0</v>
      </c>
      <c r="V293" s="263">
        <v>0</v>
      </c>
      <c r="W293" s="120">
        <f t="shared" si="99"/>
        <v>1931</v>
      </c>
      <c r="X293" s="43">
        <v>2021</v>
      </c>
      <c r="Y293" s="140">
        <f t="shared" si="100"/>
        <v>67</v>
      </c>
      <c r="Z293" s="141">
        <f t="shared" si="101"/>
        <v>0</v>
      </c>
      <c r="AA293" s="140">
        <f t="shared" si="102"/>
        <v>0</v>
      </c>
      <c r="AB293" s="140">
        <f t="shared" si="103"/>
        <v>0</v>
      </c>
    </row>
    <row r="294" spans="1:28" ht="25.5">
      <c r="A294" s="21" t="s">
        <v>19</v>
      </c>
      <c r="B294" s="22">
        <v>1</v>
      </c>
      <c r="C294" s="22">
        <v>2</v>
      </c>
      <c r="D294" s="22">
        <v>1</v>
      </c>
      <c r="E294" s="22">
        <v>0</v>
      </c>
      <c r="F294" s="22">
        <v>3</v>
      </c>
      <c r="G294" s="43"/>
      <c r="H294" s="46" t="s">
        <v>246</v>
      </c>
      <c r="I294" s="43" t="s">
        <v>57</v>
      </c>
      <c r="J294" s="131">
        <v>0</v>
      </c>
      <c r="K294" s="131">
        <v>0</v>
      </c>
      <c r="L294" s="131">
        <v>0</v>
      </c>
      <c r="M294" s="95">
        <v>0</v>
      </c>
      <c r="N294" s="95">
        <v>0</v>
      </c>
      <c r="O294" s="95">
        <v>1</v>
      </c>
      <c r="P294" s="270">
        <v>1</v>
      </c>
      <c r="Q294" s="270">
        <v>0</v>
      </c>
      <c r="R294" s="270">
        <v>0</v>
      </c>
      <c r="S294" s="270">
        <v>0</v>
      </c>
      <c r="T294" s="270">
        <v>0</v>
      </c>
      <c r="U294" s="270">
        <v>0</v>
      </c>
      <c r="V294" s="270">
        <v>0</v>
      </c>
      <c r="W294" s="131">
        <f t="shared" si="99"/>
        <v>1</v>
      </c>
      <c r="X294" s="43">
        <v>2021</v>
      </c>
      <c r="Y294" s="140">
        <f t="shared" si="100"/>
        <v>0</v>
      </c>
      <c r="Z294" s="141">
        <f t="shared" si="101"/>
        <v>0</v>
      </c>
      <c r="AA294" s="140">
        <f t="shared" si="102"/>
        <v>0</v>
      </c>
      <c r="AB294" s="140">
        <f t="shared" si="103"/>
        <v>0</v>
      </c>
    </row>
    <row r="295" spans="1:28" ht="25.5">
      <c r="A295" s="21" t="s">
        <v>19</v>
      </c>
      <c r="B295" s="22">
        <v>1</v>
      </c>
      <c r="C295" s="22">
        <v>2</v>
      </c>
      <c r="D295" s="22">
        <v>1</v>
      </c>
      <c r="E295" s="22">
        <v>0</v>
      </c>
      <c r="F295" s="22">
        <v>3</v>
      </c>
      <c r="G295" s="43"/>
      <c r="H295" s="46" t="s">
        <v>247</v>
      </c>
      <c r="I295" s="43" t="s">
        <v>57</v>
      </c>
      <c r="J295" s="131"/>
      <c r="K295" s="131"/>
      <c r="L295" s="131"/>
      <c r="M295" s="95"/>
      <c r="N295" s="95">
        <v>0</v>
      </c>
      <c r="O295" s="95">
        <v>0</v>
      </c>
      <c r="P295" s="270">
        <v>0</v>
      </c>
      <c r="Q295" s="270">
        <v>0</v>
      </c>
      <c r="R295" s="270">
        <v>0</v>
      </c>
      <c r="S295" s="270">
        <v>0</v>
      </c>
      <c r="T295" s="270">
        <v>0</v>
      </c>
      <c r="U295" s="270">
        <v>0</v>
      </c>
      <c r="V295" s="270">
        <v>0</v>
      </c>
      <c r="W295" s="131">
        <v>0</v>
      </c>
      <c r="X295" s="43"/>
      <c r="Y295" s="140"/>
      <c r="Z295" s="141"/>
      <c r="AA295" s="140"/>
      <c r="AB295" s="140"/>
    </row>
    <row r="296" spans="1:28" s="2" customFormat="1" ht="38.25">
      <c r="A296" s="160" t="s">
        <v>19</v>
      </c>
      <c r="B296" s="34">
        <v>1</v>
      </c>
      <c r="C296" s="34">
        <v>2</v>
      </c>
      <c r="D296" s="34">
        <v>2</v>
      </c>
      <c r="E296" s="34">
        <v>0</v>
      </c>
      <c r="F296" s="34">
        <v>0</v>
      </c>
      <c r="G296" s="34"/>
      <c r="H296" s="35" t="s">
        <v>248</v>
      </c>
      <c r="I296" s="34" t="s">
        <v>21</v>
      </c>
      <c r="J296" s="81">
        <f aca="true" t="shared" si="105" ref="J296:V296">J297</f>
        <v>286.4</v>
      </c>
      <c r="K296" s="81">
        <f t="shared" si="105"/>
        <v>7296.9</v>
      </c>
      <c r="L296" s="81">
        <f t="shared" si="105"/>
        <v>5424.9</v>
      </c>
      <c r="M296" s="81">
        <f>M297+M298</f>
        <v>78748.2</v>
      </c>
      <c r="N296" s="81">
        <v>16402.2</v>
      </c>
      <c r="O296" s="81">
        <v>11137.4</v>
      </c>
      <c r="P296" s="261">
        <f>P297+P298</f>
        <v>37451.8</v>
      </c>
      <c r="Q296" s="261">
        <v>0</v>
      </c>
      <c r="R296" s="261">
        <f t="shared" si="105"/>
        <v>0</v>
      </c>
      <c r="S296" s="261">
        <v>96683</v>
      </c>
      <c r="T296" s="261">
        <f t="shared" si="105"/>
        <v>96683</v>
      </c>
      <c r="U296" s="261">
        <v>99383</v>
      </c>
      <c r="V296" s="261">
        <f t="shared" si="105"/>
        <v>99383</v>
      </c>
      <c r="W296" s="81">
        <f>J296+K296+L296+M296+N296+P296+R296+T296+V296</f>
        <v>341676.4</v>
      </c>
      <c r="X296" s="34">
        <v>2024</v>
      </c>
      <c r="Y296" s="140">
        <f aca="true" t="shared" si="106" ref="Y296:Y301">P296-O296</f>
        <v>26314.4</v>
      </c>
      <c r="Z296" s="141">
        <f aca="true" t="shared" si="107" ref="Z296:Z301">R296-Q296</f>
        <v>0</v>
      </c>
      <c r="AA296" s="140">
        <f aca="true" t="shared" si="108" ref="AA296:AA301">T296-S296</f>
        <v>0</v>
      </c>
      <c r="AB296" s="140">
        <f aca="true" t="shared" si="109" ref="AB296:AB301">V296-U296</f>
        <v>0</v>
      </c>
    </row>
    <row r="297" spans="1:28" s="2" customFormat="1" ht="12.75">
      <c r="A297" s="21" t="s">
        <v>19</v>
      </c>
      <c r="B297" s="22">
        <v>1</v>
      </c>
      <c r="C297" s="22">
        <v>2</v>
      </c>
      <c r="D297" s="22">
        <v>2</v>
      </c>
      <c r="E297" s="22">
        <v>0</v>
      </c>
      <c r="F297" s="22">
        <v>0</v>
      </c>
      <c r="G297" s="22">
        <v>3</v>
      </c>
      <c r="H297" s="26" t="s">
        <v>22</v>
      </c>
      <c r="I297" s="22" t="s">
        <v>21</v>
      </c>
      <c r="J297" s="138">
        <f>J307+J311</f>
        <v>286.4</v>
      </c>
      <c r="K297" s="138">
        <f>K307+K311</f>
        <v>7296.9</v>
      </c>
      <c r="L297" s="138">
        <f>L307+L311</f>
        <v>5424.9</v>
      </c>
      <c r="M297" s="91">
        <f>M307+M311</f>
        <v>72373</v>
      </c>
      <c r="N297" s="91">
        <v>16402.2</v>
      </c>
      <c r="O297" s="91">
        <v>11137.4</v>
      </c>
      <c r="P297" s="262">
        <f>P307+P311+P315</f>
        <v>12251.8</v>
      </c>
      <c r="Q297" s="262">
        <v>0</v>
      </c>
      <c r="R297" s="262">
        <f>R307+R311+R315</f>
        <v>0</v>
      </c>
      <c r="S297" s="262">
        <v>96683</v>
      </c>
      <c r="T297" s="262">
        <f>T307+T311+T315</f>
        <v>96683</v>
      </c>
      <c r="U297" s="262">
        <v>99383</v>
      </c>
      <c r="V297" s="262">
        <f>V307+V311+V315</f>
        <v>99383</v>
      </c>
      <c r="W297" s="138">
        <f>J297+K297+L297+M297+N297+P297+R297+T297+V297</f>
        <v>310101.2</v>
      </c>
      <c r="X297" s="22">
        <v>2024</v>
      </c>
      <c r="Y297" s="140">
        <f t="shared" si="106"/>
        <v>1114.4</v>
      </c>
      <c r="Z297" s="141">
        <f t="shared" si="107"/>
        <v>0</v>
      </c>
      <c r="AA297" s="140">
        <f t="shared" si="108"/>
        <v>0</v>
      </c>
      <c r="AB297" s="140">
        <f t="shared" si="109"/>
        <v>0</v>
      </c>
    </row>
    <row r="298" spans="1:28" s="2" customFormat="1" ht="12.75">
      <c r="A298" s="21" t="s">
        <v>19</v>
      </c>
      <c r="B298" s="22">
        <v>1</v>
      </c>
      <c r="C298" s="22">
        <v>2</v>
      </c>
      <c r="D298" s="22">
        <v>2</v>
      </c>
      <c r="E298" s="22">
        <v>0</v>
      </c>
      <c r="F298" s="22">
        <v>0</v>
      </c>
      <c r="G298" s="22"/>
      <c r="H298" s="26" t="s">
        <v>23</v>
      </c>
      <c r="I298" s="22" t="s">
        <v>21</v>
      </c>
      <c r="J298" s="138"/>
      <c r="K298" s="138"/>
      <c r="L298" s="138"/>
      <c r="M298" s="91">
        <f>M312</f>
        <v>6375.2</v>
      </c>
      <c r="N298" s="91"/>
      <c r="O298" s="91">
        <v>0</v>
      </c>
      <c r="P298" s="262">
        <f>P312</f>
        <v>25200</v>
      </c>
      <c r="Q298" s="262"/>
      <c r="R298" s="262"/>
      <c r="S298" s="262"/>
      <c r="T298" s="262"/>
      <c r="U298" s="262"/>
      <c r="V298" s="262"/>
      <c r="W298" s="138">
        <f>J298+K298+L298+M298+N298+P298+R298+T298+V298</f>
        <v>31575.2</v>
      </c>
      <c r="X298" s="22">
        <v>2021</v>
      </c>
      <c r="Y298" s="140">
        <f t="shared" si="106"/>
        <v>25200</v>
      </c>
      <c r="Z298" s="141">
        <f t="shared" si="107"/>
        <v>0</v>
      </c>
      <c r="AA298" s="140">
        <f t="shared" si="108"/>
        <v>0</v>
      </c>
      <c r="AB298" s="140">
        <f t="shared" si="109"/>
        <v>0</v>
      </c>
    </row>
    <row r="299" spans="1:28" ht="38.25">
      <c r="A299" s="21" t="s">
        <v>19</v>
      </c>
      <c r="B299" s="22">
        <v>1</v>
      </c>
      <c r="C299" s="22">
        <v>2</v>
      </c>
      <c r="D299" s="22">
        <v>2</v>
      </c>
      <c r="E299" s="22">
        <v>0</v>
      </c>
      <c r="F299" s="22">
        <v>0</v>
      </c>
      <c r="G299" s="43"/>
      <c r="H299" s="44" t="s">
        <v>249</v>
      </c>
      <c r="I299" s="43" t="s">
        <v>28</v>
      </c>
      <c r="J299" s="120">
        <v>3.5</v>
      </c>
      <c r="K299" s="120">
        <v>3.5</v>
      </c>
      <c r="L299" s="129">
        <v>3.5</v>
      </c>
      <c r="M299" s="72">
        <v>2.8</v>
      </c>
      <c r="N299" s="72">
        <v>3.2</v>
      </c>
      <c r="O299" s="217">
        <v>6.7</v>
      </c>
      <c r="P299" s="271">
        <v>6.7</v>
      </c>
      <c r="Q299" s="271">
        <v>6.8</v>
      </c>
      <c r="R299" s="271">
        <v>6.8</v>
      </c>
      <c r="S299" s="271">
        <v>14.7</v>
      </c>
      <c r="T299" s="271">
        <v>14.7</v>
      </c>
      <c r="U299" s="271">
        <v>21.8</v>
      </c>
      <c r="V299" s="271">
        <v>21.8</v>
      </c>
      <c r="W299" s="129">
        <f>V299</f>
        <v>21.8</v>
      </c>
      <c r="X299" s="43">
        <v>2024</v>
      </c>
      <c r="Y299" s="140">
        <f t="shared" si="106"/>
        <v>0</v>
      </c>
      <c r="Z299" s="141">
        <f t="shared" si="107"/>
        <v>0</v>
      </c>
      <c r="AA299" s="140">
        <f t="shared" si="108"/>
        <v>0</v>
      </c>
      <c r="AB299" s="140">
        <f t="shared" si="109"/>
        <v>0</v>
      </c>
    </row>
    <row r="300" spans="1:28" ht="63.75">
      <c r="A300" s="21" t="s">
        <v>19</v>
      </c>
      <c r="B300" s="22">
        <v>1</v>
      </c>
      <c r="C300" s="22">
        <v>2</v>
      </c>
      <c r="D300" s="22">
        <v>2</v>
      </c>
      <c r="E300" s="22">
        <v>0</v>
      </c>
      <c r="F300" s="22">
        <v>0</v>
      </c>
      <c r="G300" s="252"/>
      <c r="H300" s="253" t="s">
        <v>250</v>
      </c>
      <c r="I300" s="252" t="s">
        <v>28</v>
      </c>
      <c r="J300" s="272">
        <v>2.9</v>
      </c>
      <c r="K300" s="272">
        <v>10.4</v>
      </c>
      <c r="L300" s="129">
        <v>7.5</v>
      </c>
      <c r="M300" s="273">
        <v>32.8</v>
      </c>
      <c r="N300" s="273">
        <v>43.8</v>
      </c>
      <c r="O300" s="274">
        <v>45.3</v>
      </c>
      <c r="P300" s="275">
        <v>46.9</v>
      </c>
      <c r="Q300" s="275">
        <v>45.3</v>
      </c>
      <c r="R300" s="275">
        <v>46.9</v>
      </c>
      <c r="S300" s="275">
        <v>45.3</v>
      </c>
      <c r="T300" s="275">
        <v>46.9</v>
      </c>
      <c r="U300" s="275">
        <v>45.3</v>
      </c>
      <c r="V300" s="275">
        <v>46.9</v>
      </c>
      <c r="W300" s="129">
        <f>V300</f>
        <v>46.9</v>
      </c>
      <c r="X300" s="252">
        <v>2024</v>
      </c>
      <c r="Y300" s="140">
        <f t="shared" si="106"/>
        <v>1.6</v>
      </c>
      <c r="Z300" s="141">
        <f t="shared" si="107"/>
        <v>1.6</v>
      </c>
      <c r="AA300" s="140">
        <f t="shared" si="108"/>
        <v>1.6</v>
      </c>
      <c r="AB300" s="140">
        <f t="shared" si="109"/>
        <v>1.6</v>
      </c>
    </row>
    <row r="301" spans="1:28" ht="51">
      <c r="A301" s="21" t="s">
        <v>19</v>
      </c>
      <c r="B301" s="22">
        <v>1</v>
      </c>
      <c r="C301" s="22">
        <v>2</v>
      </c>
      <c r="D301" s="22">
        <v>2</v>
      </c>
      <c r="E301" s="22">
        <v>0</v>
      </c>
      <c r="F301" s="22">
        <v>0</v>
      </c>
      <c r="G301" s="252"/>
      <c r="H301" s="253" t="s">
        <v>251</v>
      </c>
      <c r="I301" s="252" t="s">
        <v>28</v>
      </c>
      <c r="J301" s="272">
        <v>0</v>
      </c>
      <c r="K301" s="272">
        <v>0</v>
      </c>
      <c r="L301" s="129">
        <v>0</v>
      </c>
      <c r="M301" s="273">
        <v>0</v>
      </c>
      <c r="N301" s="273">
        <v>4.7</v>
      </c>
      <c r="O301" s="274">
        <v>4.7</v>
      </c>
      <c r="P301" s="275">
        <v>4.7</v>
      </c>
      <c r="Q301" s="275">
        <v>4.7</v>
      </c>
      <c r="R301" s="275">
        <v>4.7</v>
      </c>
      <c r="S301" s="275">
        <v>6.3</v>
      </c>
      <c r="T301" s="275">
        <v>6.3</v>
      </c>
      <c r="U301" s="275">
        <v>6.3</v>
      </c>
      <c r="V301" s="275">
        <v>6.3</v>
      </c>
      <c r="W301" s="129">
        <f>V301</f>
        <v>6.3</v>
      </c>
      <c r="X301" s="252">
        <v>2024</v>
      </c>
      <c r="Y301" s="140">
        <f t="shared" si="106"/>
        <v>0</v>
      </c>
      <c r="Z301" s="141">
        <f t="shared" si="107"/>
        <v>0</v>
      </c>
      <c r="AA301" s="140">
        <f t="shared" si="108"/>
        <v>0</v>
      </c>
      <c r="AB301" s="140">
        <f t="shared" si="109"/>
        <v>0</v>
      </c>
    </row>
    <row r="302" spans="1:28" ht="89.25">
      <c r="A302" s="36" t="s">
        <v>19</v>
      </c>
      <c r="B302" s="37">
        <v>1</v>
      </c>
      <c r="C302" s="37">
        <v>2</v>
      </c>
      <c r="D302" s="37">
        <v>2</v>
      </c>
      <c r="E302" s="37">
        <v>0</v>
      </c>
      <c r="F302" s="37">
        <v>1</v>
      </c>
      <c r="G302" s="38"/>
      <c r="H302" s="39" t="s">
        <v>252</v>
      </c>
      <c r="I302" s="38" t="s">
        <v>43</v>
      </c>
      <c r="J302" s="87" t="s">
        <v>44</v>
      </c>
      <c r="K302" s="87" t="s">
        <v>44</v>
      </c>
      <c r="L302" s="87" t="s">
        <v>44</v>
      </c>
      <c r="M302" s="125" t="s">
        <v>44</v>
      </c>
      <c r="N302" s="125" t="s">
        <v>44</v>
      </c>
      <c r="O302" s="125" t="s">
        <v>44</v>
      </c>
      <c r="P302" s="265" t="s">
        <v>44</v>
      </c>
      <c r="Q302" s="265" t="s">
        <v>44</v>
      </c>
      <c r="R302" s="265" t="s">
        <v>44</v>
      </c>
      <c r="S302" s="265" t="s">
        <v>44</v>
      </c>
      <c r="T302" s="265" t="s">
        <v>44</v>
      </c>
      <c r="U302" s="265" t="s">
        <v>44</v>
      </c>
      <c r="V302" s="265" t="s">
        <v>44</v>
      </c>
      <c r="W302" s="87" t="s">
        <v>44</v>
      </c>
      <c r="X302" s="38">
        <v>2024</v>
      </c>
      <c r="Y302" s="140"/>
      <c r="Z302" s="141"/>
      <c r="AA302" s="140"/>
      <c r="AB302" s="140"/>
    </row>
    <row r="303" spans="1:28" ht="63" customHeight="1">
      <c r="A303" s="21" t="s">
        <v>19</v>
      </c>
      <c r="B303" s="22">
        <v>1</v>
      </c>
      <c r="C303" s="22">
        <v>2</v>
      </c>
      <c r="D303" s="22">
        <v>2</v>
      </c>
      <c r="E303" s="22">
        <v>0</v>
      </c>
      <c r="F303" s="22">
        <v>1</v>
      </c>
      <c r="G303" s="43"/>
      <c r="H303" s="46" t="s">
        <v>253</v>
      </c>
      <c r="I303" s="43" t="s">
        <v>57</v>
      </c>
      <c r="J303" s="131">
        <v>0</v>
      </c>
      <c r="K303" s="131">
        <v>1</v>
      </c>
      <c r="L303" s="131">
        <v>0</v>
      </c>
      <c r="M303" s="95">
        <v>0</v>
      </c>
      <c r="N303" s="95">
        <v>0</v>
      </c>
      <c r="O303" s="95">
        <v>0</v>
      </c>
      <c r="P303" s="270">
        <v>0</v>
      </c>
      <c r="Q303" s="270">
        <v>0</v>
      </c>
      <c r="R303" s="270">
        <v>0</v>
      </c>
      <c r="S303" s="270">
        <v>0</v>
      </c>
      <c r="T303" s="270">
        <v>0</v>
      </c>
      <c r="U303" s="270">
        <v>0</v>
      </c>
      <c r="V303" s="270">
        <v>0</v>
      </c>
      <c r="W303" s="266">
        <f aca="true" t="shared" si="110" ref="W303:W313">J303+K303+L303+M303+N303+P303+R303+T303+V303</f>
        <v>1</v>
      </c>
      <c r="X303" s="43">
        <v>2021</v>
      </c>
      <c r="Y303" s="140">
        <f aca="true" t="shared" si="111" ref="Y303:Y322">P303-O303</f>
        <v>0</v>
      </c>
      <c r="Z303" s="141">
        <f aca="true" t="shared" si="112" ref="Z303:Z322">R303-Q303</f>
        <v>0</v>
      </c>
      <c r="AA303" s="140">
        <f aca="true" t="shared" si="113" ref="AA303:AA322">T303-S303</f>
        <v>0</v>
      </c>
      <c r="AB303" s="140">
        <f aca="true" t="shared" si="114" ref="AB303:AB322">V303-U303</f>
        <v>0</v>
      </c>
    </row>
    <row r="304" spans="1:28" ht="76.5">
      <c r="A304" s="21" t="s">
        <v>19</v>
      </c>
      <c r="B304" s="22">
        <v>1</v>
      </c>
      <c r="C304" s="22">
        <v>2</v>
      </c>
      <c r="D304" s="22">
        <v>2</v>
      </c>
      <c r="E304" s="22">
        <v>0</v>
      </c>
      <c r="F304" s="22">
        <v>1</v>
      </c>
      <c r="G304" s="252"/>
      <c r="H304" s="254" t="s">
        <v>254</v>
      </c>
      <c r="I304" s="252" t="s">
        <v>57</v>
      </c>
      <c r="J304" s="266">
        <v>1</v>
      </c>
      <c r="K304" s="266">
        <v>1</v>
      </c>
      <c r="L304" s="266">
        <v>1</v>
      </c>
      <c r="M304" s="267">
        <v>1</v>
      </c>
      <c r="N304" s="267">
        <v>1</v>
      </c>
      <c r="O304" s="267">
        <v>1</v>
      </c>
      <c r="P304" s="268">
        <v>1</v>
      </c>
      <c r="Q304" s="268">
        <v>1</v>
      </c>
      <c r="R304" s="268">
        <v>1</v>
      </c>
      <c r="S304" s="268">
        <v>1</v>
      </c>
      <c r="T304" s="268">
        <v>1</v>
      </c>
      <c r="U304" s="268">
        <v>1</v>
      </c>
      <c r="V304" s="268">
        <v>1</v>
      </c>
      <c r="W304" s="266">
        <f t="shared" si="110"/>
        <v>9</v>
      </c>
      <c r="X304" s="252">
        <v>2024</v>
      </c>
      <c r="Y304" s="140">
        <f t="shared" si="111"/>
        <v>0</v>
      </c>
      <c r="Z304" s="141">
        <f t="shared" si="112"/>
        <v>0</v>
      </c>
      <c r="AA304" s="140">
        <f t="shared" si="113"/>
        <v>0</v>
      </c>
      <c r="AB304" s="140">
        <f t="shared" si="114"/>
        <v>0</v>
      </c>
    </row>
    <row r="305" spans="1:28" ht="63.75">
      <c r="A305" s="21" t="s">
        <v>19</v>
      </c>
      <c r="B305" s="22">
        <v>1</v>
      </c>
      <c r="C305" s="22">
        <v>2</v>
      </c>
      <c r="D305" s="22">
        <v>2</v>
      </c>
      <c r="E305" s="22">
        <v>0</v>
      </c>
      <c r="F305" s="22">
        <v>1</v>
      </c>
      <c r="G305" s="252"/>
      <c r="H305" s="254" t="s">
        <v>255</v>
      </c>
      <c r="I305" s="252" t="s">
        <v>57</v>
      </c>
      <c r="J305" s="266">
        <v>0</v>
      </c>
      <c r="K305" s="266">
        <v>0</v>
      </c>
      <c r="L305" s="266">
        <v>0</v>
      </c>
      <c r="M305" s="267">
        <v>0</v>
      </c>
      <c r="N305" s="267">
        <v>0</v>
      </c>
      <c r="O305" s="267">
        <v>0</v>
      </c>
      <c r="P305" s="268">
        <v>0</v>
      </c>
      <c r="Q305" s="268">
        <v>0</v>
      </c>
      <c r="R305" s="268">
        <v>0</v>
      </c>
      <c r="S305" s="268">
        <v>1</v>
      </c>
      <c r="T305" s="268">
        <v>1</v>
      </c>
      <c r="U305" s="268">
        <v>1</v>
      </c>
      <c r="V305" s="268">
        <v>1</v>
      </c>
      <c r="W305" s="266">
        <f t="shared" si="110"/>
        <v>2</v>
      </c>
      <c r="X305" s="252">
        <v>2024</v>
      </c>
      <c r="Y305" s="140">
        <f t="shared" si="111"/>
        <v>0</v>
      </c>
      <c r="Z305" s="141">
        <f t="shared" si="112"/>
        <v>0</v>
      </c>
      <c r="AA305" s="140">
        <f t="shared" si="113"/>
        <v>0</v>
      </c>
      <c r="AB305" s="140">
        <f t="shared" si="114"/>
        <v>0</v>
      </c>
    </row>
    <row r="306" spans="1:28" s="2" customFormat="1" ht="63.75">
      <c r="A306" s="36" t="s">
        <v>19</v>
      </c>
      <c r="B306" s="37">
        <v>1</v>
      </c>
      <c r="C306" s="37">
        <v>2</v>
      </c>
      <c r="D306" s="37">
        <v>2</v>
      </c>
      <c r="E306" s="37">
        <v>0</v>
      </c>
      <c r="F306" s="37">
        <v>2</v>
      </c>
      <c r="G306" s="37"/>
      <c r="H306" s="40" t="s">
        <v>256</v>
      </c>
      <c r="I306" s="37" t="s">
        <v>21</v>
      </c>
      <c r="J306" s="88">
        <f aca="true" t="shared" si="115" ref="J306:V306">J307</f>
        <v>286.4</v>
      </c>
      <c r="K306" s="88">
        <f t="shared" si="115"/>
        <v>781.4</v>
      </c>
      <c r="L306" s="88">
        <f t="shared" si="115"/>
        <v>2603.5</v>
      </c>
      <c r="M306" s="89">
        <f t="shared" si="115"/>
        <v>5755.8</v>
      </c>
      <c r="N306" s="89">
        <v>9527</v>
      </c>
      <c r="O306" s="89">
        <v>2287.7</v>
      </c>
      <c r="P306" s="269">
        <f t="shared" si="115"/>
        <v>3055.1</v>
      </c>
      <c r="Q306" s="269">
        <v>0</v>
      </c>
      <c r="R306" s="269">
        <f t="shared" si="115"/>
        <v>0</v>
      </c>
      <c r="S306" s="269">
        <v>0</v>
      </c>
      <c r="T306" s="269">
        <f t="shared" si="115"/>
        <v>0</v>
      </c>
      <c r="U306" s="269">
        <v>0</v>
      </c>
      <c r="V306" s="269">
        <f t="shared" si="115"/>
        <v>0</v>
      </c>
      <c r="W306" s="88">
        <f t="shared" si="110"/>
        <v>22009.2</v>
      </c>
      <c r="X306" s="37">
        <v>2021</v>
      </c>
      <c r="Y306" s="140">
        <f t="shared" si="111"/>
        <v>767.4</v>
      </c>
      <c r="Z306" s="141">
        <f t="shared" si="112"/>
        <v>0</v>
      </c>
      <c r="AA306" s="140">
        <f t="shared" si="113"/>
        <v>0</v>
      </c>
      <c r="AB306" s="140">
        <f t="shared" si="114"/>
        <v>0</v>
      </c>
    </row>
    <row r="307" spans="1:28" s="2" customFormat="1" ht="12.75">
      <c r="A307" s="21" t="s">
        <v>19</v>
      </c>
      <c r="B307" s="22">
        <v>1</v>
      </c>
      <c r="C307" s="22">
        <v>2</v>
      </c>
      <c r="D307" s="22">
        <v>2</v>
      </c>
      <c r="E307" s="22">
        <v>0</v>
      </c>
      <c r="F307" s="22">
        <v>2</v>
      </c>
      <c r="G307" s="22">
        <v>3</v>
      </c>
      <c r="H307" s="26" t="s">
        <v>22</v>
      </c>
      <c r="I307" s="22" t="s">
        <v>21</v>
      </c>
      <c r="J307" s="138">
        <f>230.4+56</f>
        <v>286.4</v>
      </c>
      <c r="K307" s="138">
        <v>781.4</v>
      </c>
      <c r="L307" s="138">
        <v>2603.5</v>
      </c>
      <c r="M307" s="91">
        <v>5755.8</v>
      </c>
      <c r="N307" s="91">
        <v>9527</v>
      </c>
      <c r="O307" s="91">
        <v>2287.7</v>
      </c>
      <c r="P307" s="262">
        <v>3055.1</v>
      </c>
      <c r="Q307" s="262">
        <v>0</v>
      </c>
      <c r="R307" s="262">
        <v>0</v>
      </c>
      <c r="S307" s="262">
        <v>0</v>
      </c>
      <c r="T307" s="262">
        <v>0</v>
      </c>
      <c r="U307" s="262">
        <v>0</v>
      </c>
      <c r="V307" s="262">
        <v>0</v>
      </c>
      <c r="W307" s="138">
        <f t="shared" si="110"/>
        <v>22009.2</v>
      </c>
      <c r="X307" s="22">
        <v>2021</v>
      </c>
      <c r="Y307" s="140">
        <f t="shared" si="111"/>
        <v>767.4</v>
      </c>
      <c r="Z307" s="141">
        <f t="shared" si="112"/>
        <v>0</v>
      </c>
      <c r="AA307" s="140">
        <f t="shared" si="113"/>
        <v>0</v>
      </c>
      <c r="AB307" s="140">
        <f t="shared" si="114"/>
        <v>0</v>
      </c>
    </row>
    <row r="308" spans="1:28" ht="38.25">
      <c r="A308" s="21" t="s">
        <v>19</v>
      </c>
      <c r="B308" s="22">
        <v>1</v>
      </c>
      <c r="C308" s="22">
        <v>2</v>
      </c>
      <c r="D308" s="22">
        <v>2</v>
      </c>
      <c r="E308" s="22">
        <v>0</v>
      </c>
      <c r="F308" s="22">
        <v>2</v>
      </c>
      <c r="G308" s="43"/>
      <c r="H308" s="46" t="s">
        <v>257</v>
      </c>
      <c r="I308" s="43" t="s">
        <v>57</v>
      </c>
      <c r="J308" s="173">
        <v>0</v>
      </c>
      <c r="K308" s="173">
        <v>6</v>
      </c>
      <c r="L308" s="173">
        <v>7</v>
      </c>
      <c r="M308" s="107">
        <v>20</v>
      </c>
      <c r="N308" s="107">
        <v>7</v>
      </c>
      <c r="O308" s="107">
        <v>7</v>
      </c>
      <c r="P308" s="276">
        <v>11</v>
      </c>
      <c r="Q308" s="276">
        <v>0</v>
      </c>
      <c r="R308" s="276">
        <v>0</v>
      </c>
      <c r="S308" s="276">
        <v>0</v>
      </c>
      <c r="T308" s="276">
        <v>0</v>
      </c>
      <c r="U308" s="276">
        <v>0</v>
      </c>
      <c r="V308" s="276">
        <v>0</v>
      </c>
      <c r="W308" s="173">
        <f t="shared" si="110"/>
        <v>51</v>
      </c>
      <c r="X308" s="43">
        <v>2021</v>
      </c>
      <c r="Y308" s="140">
        <f t="shared" si="111"/>
        <v>4</v>
      </c>
      <c r="Z308" s="141">
        <f t="shared" si="112"/>
        <v>0</v>
      </c>
      <c r="AA308" s="140">
        <f t="shared" si="113"/>
        <v>0</v>
      </c>
      <c r="AB308" s="140">
        <f t="shared" si="114"/>
        <v>0</v>
      </c>
    </row>
    <row r="309" spans="1:28" ht="25.5">
      <c r="A309" s="21" t="s">
        <v>19</v>
      </c>
      <c r="B309" s="22">
        <v>1</v>
      </c>
      <c r="C309" s="22">
        <v>2</v>
      </c>
      <c r="D309" s="22">
        <v>2</v>
      </c>
      <c r="E309" s="22">
        <v>0</v>
      </c>
      <c r="F309" s="22">
        <v>2</v>
      </c>
      <c r="G309" s="43"/>
      <c r="H309" s="46" t="s">
        <v>258</v>
      </c>
      <c r="I309" s="43" t="s">
        <v>57</v>
      </c>
      <c r="J309" s="173">
        <v>2</v>
      </c>
      <c r="K309" s="173">
        <v>0</v>
      </c>
      <c r="L309" s="173">
        <v>5</v>
      </c>
      <c r="M309" s="107">
        <v>5</v>
      </c>
      <c r="N309" s="107">
        <v>6</v>
      </c>
      <c r="O309" s="107">
        <v>0</v>
      </c>
      <c r="P309" s="276">
        <v>1</v>
      </c>
      <c r="Q309" s="276">
        <v>0</v>
      </c>
      <c r="R309" s="276">
        <v>0</v>
      </c>
      <c r="S309" s="276">
        <v>0</v>
      </c>
      <c r="T309" s="276">
        <v>0</v>
      </c>
      <c r="U309" s="276">
        <v>0</v>
      </c>
      <c r="V309" s="276">
        <v>0</v>
      </c>
      <c r="W309" s="173">
        <f t="shared" si="110"/>
        <v>19</v>
      </c>
      <c r="X309" s="43">
        <v>2020</v>
      </c>
      <c r="Y309" s="140">
        <f t="shared" si="111"/>
        <v>1</v>
      </c>
      <c r="Z309" s="141">
        <f t="shared" si="112"/>
        <v>0</v>
      </c>
      <c r="AA309" s="140">
        <f t="shared" si="113"/>
        <v>0</v>
      </c>
      <c r="AB309" s="140">
        <f t="shared" si="114"/>
        <v>0</v>
      </c>
    </row>
    <row r="310" spans="1:28" s="2" customFormat="1" ht="38.25">
      <c r="A310" s="36" t="s">
        <v>19</v>
      </c>
      <c r="B310" s="37">
        <v>1</v>
      </c>
      <c r="C310" s="37">
        <v>2</v>
      </c>
      <c r="D310" s="37">
        <v>2</v>
      </c>
      <c r="E310" s="37">
        <v>0</v>
      </c>
      <c r="F310" s="37">
        <v>3</v>
      </c>
      <c r="G310" s="37"/>
      <c r="H310" s="40" t="s">
        <v>259</v>
      </c>
      <c r="I310" s="37" t="s">
        <v>21</v>
      </c>
      <c r="J310" s="88">
        <f>J311</f>
        <v>0</v>
      </c>
      <c r="K310" s="88">
        <f>K311</f>
        <v>6515.5</v>
      </c>
      <c r="L310" s="88">
        <f>L311</f>
        <v>2821.4</v>
      </c>
      <c r="M310" s="89">
        <f>M311+M312</f>
        <v>72992.4</v>
      </c>
      <c r="N310" s="89">
        <v>6132.4</v>
      </c>
      <c r="O310" s="89">
        <v>3126.2</v>
      </c>
      <c r="P310" s="269">
        <f>P311+P312</f>
        <v>29027.4</v>
      </c>
      <c r="Q310" s="269">
        <v>0</v>
      </c>
      <c r="R310" s="269">
        <v>0</v>
      </c>
      <c r="S310" s="269">
        <v>96668</v>
      </c>
      <c r="T310" s="269">
        <f>T311</f>
        <v>96668</v>
      </c>
      <c r="U310" s="269">
        <v>99368</v>
      </c>
      <c r="V310" s="269">
        <f>V311</f>
        <v>99368</v>
      </c>
      <c r="W310" s="88">
        <f t="shared" si="110"/>
        <v>313525.1</v>
      </c>
      <c r="X310" s="37">
        <v>2024</v>
      </c>
      <c r="Y310" s="140">
        <f t="shared" si="111"/>
        <v>25901.2</v>
      </c>
      <c r="Z310" s="141">
        <f t="shared" si="112"/>
        <v>0</v>
      </c>
      <c r="AA310" s="140">
        <f t="shared" si="113"/>
        <v>0</v>
      </c>
      <c r="AB310" s="140">
        <f t="shared" si="114"/>
        <v>0</v>
      </c>
    </row>
    <row r="311" spans="1:28" s="2" customFormat="1" ht="12.75">
      <c r="A311" s="21" t="s">
        <v>19</v>
      </c>
      <c r="B311" s="22">
        <v>1</v>
      </c>
      <c r="C311" s="22">
        <v>2</v>
      </c>
      <c r="D311" s="22">
        <v>2</v>
      </c>
      <c r="E311" s="22">
        <v>0</v>
      </c>
      <c r="F311" s="22">
        <v>3</v>
      </c>
      <c r="G311" s="22">
        <v>3</v>
      </c>
      <c r="H311" s="26" t="s">
        <v>22</v>
      </c>
      <c r="I311" s="22" t="s">
        <v>21</v>
      </c>
      <c r="J311" s="138">
        <v>0</v>
      </c>
      <c r="K311" s="138">
        <v>6515.5</v>
      </c>
      <c r="L311" s="138">
        <v>2821.4</v>
      </c>
      <c r="M311" s="91">
        <v>66617.2</v>
      </c>
      <c r="N311" s="91">
        <v>6132.4</v>
      </c>
      <c r="O311" s="91">
        <v>3126.2</v>
      </c>
      <c r="P311" s="262">
        <f>29027.4-P312</f>
        <v>3827.4</v>
      </c>
      <c r="Q311" s="262">
        <v>0</v>
      </c>
      <c r="R311" s="262">
        <v>0</v>
      </c>
      <c r="S311" s="262">
        <v>96668</v>
      </c>
      <c r="T311" s="262">
        <f>96683-15</f>
        <v>96668</v>
      </c>
      <c r="U311" s="262">
        <v>99368</v>
      </c>
      <c r="V311" s="262">
        <f>99383-15</f>
        <v>99368</v>
      </c>
      <c r="W311" s="138">
        <f t="shared" si="110"/>
        <v>281949.9</v>
      </c>
      <c r="X311" s="22">
        <v>2024</v>
      </c>
      <c r="Y311" s="140">
        <f t="shared" si="111"/>
        <v>701.2</v>
      </c>
      <c r="Z311" s="141">
        <f t="shared" si="112"/>
        <v>0</v>
      </c>
      <c r="AA311" s="140">
        <f t="shared" si="113"/>
        <v>0</v>
      </c>
      <c r="AB311" s="140">
        <f t="shared" si="114"/>
        <v>0</v>
      </c>
    </row>
    <row r="312" spans="1:28" s="2" customFormat="1" ht="12.75">
      <c r="A312" s="21" t="s">
        <v>19</v>
      </c>
      <c r="B312" s="22">
        <v>1</v>
      </c>
      <c r="C312" s="22">
        <v>2</v>
      </c>
      <c r="D312" s="22">
        <v>2</v>
      </c>
      <c r="E312" s="22">
        <v>0</v>
      </c>
      <c r="F312" s="22">
        <v>3</v>
      </c>
      <c r="G312" s="22">
        <v>2</v>
      </c>
      <c r="H312" s="26" t="s">
        <v>23</v>
      </c>
      <c r="I312" s="22" t="s">
        <v>21</v>
      </c>
      <c r="J312" s="138"/>
      <c r="K312" s="138"/>
      <c r="L312" s="138"/>
      <c r="M312" s="91">
        <v>6375.2</v>
      </c>
      <c r="N312" s="91"/>
      <c r="O312" s="91"/>
      <c r="P312" s="262">
        <v>25200</v>
      </c>
      <c r="Q312" s="262"/>
      <c r="R312" s="262"/>
      <c r="S312" s="262"/>
      <c r="T312" s="262"/>
      <c r="U312" s="262"/>
      <c r="V312" s="262"/>
      <c r="W312" s="138">
        <f t="shared" si="110"/>
        <v>31575.2</v>
      </c>
      <c r="X312" s="22">
        <v>2019</v>
      </c>
      <c r="Y312" s="140">
        <f t="shared" si="111"/>
        <v>25200</v>
      </c>
      <c r="Z312" s="141">
        <f t="shared" si="112"/>
        <v>0</v>
      </c>
      <c r="AA312" s="140">
        <f t="shared" si="113"/>
        <v>0</v>
      </c>
      <c r="AB312" s="140">
        <f t="shared" si="114"/>
        <v>0</v>
      </c>
    </row>
    <row r="313" spans="1:28" ht="38.25">
      <c r="A313" s="21" t="s">
        <v>19</v>
      </c>
      <c r="B313" s="22">
        <v>1</v>
      </c>
      <c r="C313" s="22">
        <v>2</v>
      </c>
      <c r="D313" s="22">
        <v>2</v>
      </c>
      <c r="E313" s="22">
        <v>0</v>
      </c>
      <c r="F313" s="22">
        <v>3</v>
      </c>
      <c r="G313" s="255"/>
      <c r="H313" s="44" t="s">
        <v>260</v>
      </c>
      <c r="I313" s="255" t="s">
        <v>57</v>
      </c>
      <c r="J313" s="277">
        <v>0</v>
      </c>
      <c r="K313" s="277">
        <v>1</v>
      </c>
      <c r="L313" s="277">
        <v>1</v>
      </c>
      <c r="M313" s="278">
        <v>2</v>
      </c>
      <c r="N313" s="278">
        <v>1</v>
      </c>
      <c r="O313" s="278">
        <v>1</v>
      </c>
      <c r="P313" s="279">
        <v>2</v>
      </c>
      <c r="Q313" s="279">
        <v>0</v>
      </c>
      <c r="R313" s="279">
        <v>0</v>
      </c>
      <c r="S313" s="279">
        <v>1</v>
      </c>
      <c r="T313" s="279">
        <v>1</v>
      </c>
      <c r="U313" s="279">
        <v>1</v>
      </c>
      <c r="V313" s="279">
        <v>1</v>
      </c>
      <c r="W313" s="131">
        <f t="shared" si="110"/>
        <v>9</v>
      </c>
      <c r="X313" s="288">
        <v>2024</v>
      </c>
      <c r="Y313" s="140">
        <f t="shared" si="111"/>
        <v>1</v>
      </c>
      <c r="Z313" s="141">
        <f t="shared" si="112"/>
        <v>0</v>
      </c>
      <c r="AA313" s="140">
        <f t="shared" si="113"/>
        <v>0</v>
      </c>
      <c r="AB313" s="140">
        <f t="shared" si="114"/>
        <v>0</v>
      </c>
    </row>
    <row r="314" spans="1:28" s="2" customFormat="1" ht="51">
      <c r="A314" s="36" t="s">
        <v>19</v>
      </c>
      <c r="B314" s="37">
        <v>1</v>
      </c>
      <c r="C314" s="37">
        <v>2</v>
      </c>
      <c r="D314" s="37">
        <v>2</v>
      </c>
      <c r="E314" s="37">
        <v>0</v>
      </c>
      <c r="F314" s="37">
        <v>4</v>
      </c>
      <c r="G314" s="256"/>
      <c r="H314" s="39" t="s">
        <v>261</v>
      </c>
      <c r="I314" s="37" t="s">
        <v>21</v>
      </c>
      <c r="J314" s="88">
        <f>J316</f>
        <v>0</v>
      </c>
      <c r="K314" s="88">
        <f>K316</f>
        <v>0</v>
      </c>
      <c r="L314" s="88">
        <f>L316</f>
        <v>0</v>
      </c>
      <c r="M314" s="89">
        <f>M316</f>
        <v>0</v>
      </c>
      <c r="N314" s="89">
        <v>742.8</v>
      </c>
      <c r="O314" s="89">
        <v>5723.5</v>
      </c>
      <c r="P314" s="269">
        <f>P315</f>
        <v>5369.3</v>
      </c>
      <c r="Q314" s="269">
        <v>0</v>
      </c>
      <c r="R314" s="269">
        <f>R315</f>
        <v>0</v>
      </c>
      <c r="S314" s="269">
        <v>15</v>
      </c>
      <c r="T314" s="269">
        <f>T315</f>
        <v>15</v>
      </c>
      <c r="U314" s="269">
        <v>15</v>
      </c>
      <c r="V314" s="269">
        <f>V315</f>
        <v>15</v>
      </c>
      <c r="W314" s="88">
        <f>SUM(J314:V314)</f>
        <v>11895.6</v>
      </c>
      <c r="X314" s="37">
        <v>2024</v>
      </c>
      <c r="Y314" s="140">
        <f t="shared" si="111"/>
        <v>-354.2</v>
      </c>
      <c r="Z314" s="141">
        <f t="shared" si="112"/>
        <v>0</v>
      </c>
      <c r="AA314" s="140">
        <f t="shared" si="113"/>
        <v>0</v>
      </c>
      <c r="AB314" s="140">
        <f t="shared" si="114"/>
        <v>0</v>
      </c>
    </row>
    <row r="315" spans="1:28" s="2" customFormat="1" ht="12.75">
      <c r="A315" s="21" t="s">
        <v>19</v>
      </c>
      <c r="B315" s="22">
        <v>1</v>
      </c>
      <c r="C315" s="22">
        <v>2</v>
      </c>
      <c r="D315" s="22">
        <v>2</v>
      </c>
      <c r="E315" s="22">
        <v>0</v>
      </c>
      <c r="F315" s="22">
        <v>4</v>
      </c>
      <c r="G315" s="22">
        <v>3</v>
      </c>
      <c r="H315" s="26" t="s">
        <v>22</v>
      </c>
      <c r="I315" s="22" t="s">
        <v>21</v>
      </c>
      <c r="J315" s="138">
        <v>0</v>
      </c>
      <c r="K315" s="138">
        <v>0</v>
      </c>
      <c r="L315" s="138">
        <v>0</v>
      </c>
      <c r="M315" s="91">
        <v>0</v>
      </c>
      <c r="N315" s="91">
        <v>742.8</v>
      </c>
      <c r="O315" s="196">
        <v>5723.5</v>
      </c>
      <c r="P315" s="280">
        <v>5369.3</v>
      </c>
      <c r="Q315" s="262">
        <v>0</v>
      </c>
      <c r="R315" s="262">
        <v>0</v>
      </c>
      <c r="S315" s="262">
        <v>15</v>
      </c>
      <c r="T315" s="262">
        <v>15</v>
      </c>
      <c r="U315" s="262">
        <v>15</v>
      </c>
      <c r="V315" s="262">
        <v>15</v>
      </c>
      <c r="W315" s="138">
        <f>SUM(J315:V315)</f>
        <v>11895.6</v>
      </c>
      <c r="X315" s="22">
        <v>2024</v>
      </c>
      <c r="Y315" s="140">
        <f t="shared" si="111"/>
        <v>-354.2</v>
      </c>
      <c r="Z315" s="141">
        <f t="shared" si="112"/>
        <v>0</v>
      </c>
      <c r="AA315" s="140">
        <f t="shared" si="113"/>
        <v>0</v>
      </c>
      <c r="AB315" s="140">
        <f t="shared" si="114"/>
        <v>0</v>
      </c>
    </row>
    <row r="316" spans="1:28" ht="38.25">
      <c r="A316" s="21" t="s">
        <v>19</v>
      </c>
      <c r="B316" s="22">
        <v>1</v>
      </c>
      <c r="C316" s="22">
        <v>2</v>
      </c>
      <c r="D316" s="22">
        <v>2</v>
      </c>
      <c r="E316" s="22">
        <v>0</v>
      </c>
      <c r="F316" s="22">
        <v>4</v>
      </c>
      <c r="G316" s="255"/>
      <c r="H316" s="46" t="s">
        <v>262</v>
      </c>
      <c r="I316" s="43" t="s">
        <v>57</v>
      </c>
      <c r="J316" s="131">
        <v>0</v>
      </c>
      <c r="K316" s="131">
        <v>0</v>
      </c>
      <c r="L316" s="131">
        <v>0</v>
      </c>
      <c r="M316" s="131">
        <v>0</v>
      </c>
      <c r="N316" s="131">
        <v>3</v>
      </c>
      <c r="O316" s="190">
        <v>1</v>
      </c>
      <c r="P316" s="281">
        <v>1</v>
      </c>
      <c r="Q316" s="270">
        <v>0</v>
      </c>
      <c r="R316" s="270">
        <v>0</v>
      </c>
      <c r="S316" s="270">
        <v>1</v>
      </c>
      <c r="T316" s="270">
        <v>1</v>
      </c>
      <c r="U316" s="270">
        <v>1</v>
      </c>
      <c r="V316" s="270">
        <v>1</v>
      </c>
      <c r="W316" s="131">
        <f>V316</f>
        <v>1</v>
      </c>
      <c r="X316" s="43">
        <v>2024</v>
      </c>
      <c r="Y316" s="140">
        <f t="shared" si="111"/>
        <v>0</v>
      </c>
      <c r="Z316" s="141">
        <f t="shared" si="112"/>
        <v>0</v>
      </c>
      <c r="AA316" s="140">
        <f t="shared" si="113"/>
        <v>0</v>
      </c>
      <c r="AB316" s="140">
        <f t="shared" si="114"/>
        <v>0</v>
      </c>
    </row>
    <row r="317" spans="1:28" s="2" customFormat="1" ht="57" customHeight="1">
      <c r="A317" s="160" t="s">
        <v>19</v>
      </c>
      <c r="B317" s="34">
        <v>1</v>
      </c>
      <c r="C317" s="34">
        <v>2</v>
      </c>
      <c r="D317" s="34">
        <v>3</v>
      </c>
      <c r="E317" s="34">
        <v>0</v>
      </c>
      <c r="F317" s="34">
        <v>0</v>
      </c>
      <c r="G317" s="34"/>
      <c r="H317" s="35" t="s">
        <v>263</v>
      </c>
      <c r="I317" s="34" t="s">
        <v>21</v>
      </c>
      <c r="J317" s="81">
        <f>J318+J319+J320</f>
        <v>30762.3</v>
      </c>
      <c r="K317" s="81">
        <f>K318+K319</f>
        <v>76359.4</v>
      </c>
      <c r="L317" s="81">
        <f>L318+L319</f>
        <v>138909.8</v>
      </c>
      <c r="M317" s="81">
        <f>M318+M319+M320</f>
        <v>165060.8</v>
      </c>
      <c r="N317" s="81">
        <v>136769.3</v>
      </c>
      <c r="O317" s="81">
        <v>147339.8</v>
      </c>
      <c r="P317" s="261">
        <f>P318+P319+P320</f>
        <v>139193.6</v>
      </c>
      <c r="Q317" s="261">
        <v>99885.2</v>
      </c>
      <c r="R317" s="261">
        <f>R318+R319+R320</f>
        <v>104665.7</v>
      </c>
      <c r="S317" s="261">
        <v>12960</v>
      </c>
      <c r="T317" s="261">
        <f>T318+T319+T320</f>
        <v>12960</v>
      </c>
      <c r="U317" s="261">
        <v>10260</v>
      </c>
      <c r="V317" s="261">
        <f>V318+V319+V320</f>
        <v>10260</v>
      </c>
      <c r="W317" s="81">
        <f>J317+K317+L317+M317+N317+P317+R317+T317+V317</f>
        <v>814940.9</v>
      </c>
      <c r="X317" s="289">
        <v>2024</v>
      </c>
      <c r="Y317" s="140">
        <f t="shared" si="111"/>
        <v>-8146.2</v>
      </c>
      <c r="Z317" s="141">
        <f t="shared" si="112"/>
        <v>4780.5</v>
      </c>
      <c r="AA317" s="140">
        <f t="shared" si="113"/>
        <v>0</v>
      </c>
      <c r="AB317" s="140">
        <f t="shared" si="114"/>
        <v>0</v>
      </c>
    </row>
    <row r="318" spans="1:28" s="2" customFormat="1" ht="12.75">
      <c r="A318" s="21" t="s">
        <v>19</v>
      </c>
      <c r="B318" s="22">
        <v>1</v>
      </c>
      <c r="C318" s="22">
        <v>2</v>
      </c>
      <c r="D318" s="22">
        <v>3</v>
      </c>
      <c r="E318" s="22">
        <v>0</v>
      </c>
      <c r="F318" s="22">
        <v>0</v>
      </c>
      <c r="G318" s="22">
        <v>3</v>
      </c>
      <c r="H318" s="26" t="s">
        <v>22</v>
      </c>
      <c r="I318" s="22" t="s">
        <v>21</v>
      </c>
      <c r="J318" s="138">
        <f aca="true" t="shared" si="116" ref="J318:V318">J326+J336+J343+J348+J356+J368</f>
        <v>23312.6</v>
      </c>
      <c r="K318" s="138">
        <f t="shared" si="116"/>
        <v>74309.3</v>
      </c>
      <c r="L318" s="138">
        <f t="shared" si="116"/>
        <v>136758.6</v>
      </c>
      <c r="M318" s="91">
        <f t="shared" si="116"/>
        <v>155589.3</v>
      </c>
      <c r="N318" s="91">
        <v>120766.9</v>
      </c>
      <c r="O318" s="91">
        <v>122139.8</v>
      </c>
      <c r="P318" s="262">
        <f t="shared" si="116"/>
        <v>138003.3</v>
      </c>
      <c r="Q318" s="262">
        <f t="shared" si="116"/>
        <v>99885.2</v>
      </c>
      <c r="R318" s="262">
        <f t="shared" si="116"/>
        <v>104665.7</v>
      </c>
      <c r="S318" s="262">
        <v>12960</v>
      </c>
      <c r="T318" s="262">
        <f t="shared" si="116"/>
        <v>12960</v>
      </c>
      <c r="U318" s="262">
        <v>10260</v>
      </c>
      <c r="V318" s="262">
        <f t="shared" si="116"/>
        <v>10260</v>
      </c>
      <c r="W318" s="138">
        <f>J318+K318+L318+M318+N318+P318+R318+T318+V318</f>
        <v>776625.7</v>
      </c>
      <c r="X318" s="22">
        <v>2024</v>
      </c>
      <c r="Y318" s="140">
        <f t="shared" si="111"/>
        <v>15863.5</v>
      </c>
      <c r="Z318" s="141">
        <f t="shared" si="112"/>
        <v>4780.5</v>
      </c>
      <c r="AA318" s="140">
        <f t="shared" si="113"/>
        <v>0</v>
      </c>
      <c r="AB318" s="140">
        <f t="shared" si="114"/>
        <v>0</v>
      </c>
    </row>
    <row r="319" spans="1:28" s="2" customFormat="1" ht="12.75">
      <c r="A319" s="21" t="s">
        <v>19</v>
      </c>
      <c r="B319" s="22">
        <v>1</v>
      </c>
      <c r="C319" s="22">
        <v>2</v>
      </c>
      <c r="D319" s="22">
        <v>3</v>
      </c>
      <c r="E319" s="22">
        <v>0</v>
      </c>
      <c r="F319" s="22">
        <v>0</v>
      </c>
      <c r="G319" s="22">
        <v>2</v>
      </c>
      <c r="H319" s="26" t="s">
        <v>23</v>
      </c>
      <c r="I319" s="22" t="s">
        <v>21</v>
      </c>
      <c r="J319" s="138">
        <f aca="true" t="shared" si="117" ref="J319:V319">J327+J337+J344+J357+J369</f>
        <v>5966.4</v>
      </c>
      <c r="K319" s="138">
        <f t="shared" si="117"/>
        <v>2050.1</v>
      </c>
      <c r="L319" s="138">
        <f t="shared" si="117"/>
        <v>2151.2</v>
      </c>
      <c r="M319" s="91">
        <f t="shared" si="117"/>
        <v>9471.5</v>
      </c>
      <c r="N319" s="91">
        <v>16002.4</v>
      </c>
      <c r="O319" s="91">
        <v>25200</v>
      </c>
      <c r="P319" s="262">
        <f>P327+P337+P344+P357+P369</f>
        <v>1190.3</v>
      </c>
      <c r="Q319" s="262">
        <v>0</v>
      </c>
      <c r="R319" s="262">
        <v>0</v>
      </c>
      <c r="S319" s="262">
        <v>0</v>
      </c>
      <c r="T319" s="262">
        <f t="shared" si="117"/>
        <v>0</v>
      </c>
      <c r="U319" s="262">
        <v>0</v>
      </c>
      <c r="V319" s="262">
        <f t="shared" si="117"/>
        <v>0</v>
      </c>
      <c r="W319" s="138">
        <f>J319+K319+L319+M319+N319+P319+R319+T319+V319</f>
        <v>36831.9</v>
      </c>
      <c r="X319" s="290">
        <v>2021</v>
      </c>
      <c r="Y319" s="140">
        <f t="shared" si="111"/>
        <v>-24009.7</v>
      </c>
      <c r="Z319" s="141">
        <f t="shared" si="112"/>
        <v>0</v>
      </c>
      <c r="AA319" s="140">
        <f t="shared" si="113"/>
        <v>0</v>
      </c>
      <c r="AB319" s="140">
        <f t="shared" si="114"/>
        <v>0</v>
      </c>
    </row>
    <row r="320" spans="1:28" s="2" customFormat="1" ht="12.75">
      <c r="A320" s="21" t="s">
        <v>19</v>
      </c>
      <c r="B320" s="22">
        <v>1</v>
      </c>
      <c r="C320" s="22">
        <v>2</v>
      </c>
      <c r="D320" s="22">
        <v>3</v>
      </c>
      <c r="E320" s="22">
        <v>0</v>
      </c>
      <c r="F320" s="22">
        <v>0</v>
      </c>
      <c r="G320" s="22">
        <v>1</v>
      </c>
      <c r="H320" s="26" t="s">
        <v>24</v>
      </c>
      <c r="I320" s="22" t="s">
        <v>21</v>
      </c>
      <c r="J320" s="138">
        <f>J338</f>
        <v>1483.3</v>
      </c>
      <c r="K320" s="138">
        <v>0</v>
      </c>
      <c r="L320" s="138">
        <v>0</v>
      </c>
      <c r="M320" s="91">
        <v>0</v>
      </c>
      <c r="N320" s="91">
        <v>0</v>
      </c>
      <c r="O320" s="91">
        <v>0</v>
      </c>
      <c r="P320" s="262">
        <v>0</v>
      </c>
      <c r="Q320" s="262">
        <v>0</v>
      </c>
      <c r="R320" s="262">
        <v>0</v>
      </c>
      <c r="S320" s="262">
        <v>0</v>
      </c>
      <c r="T320" s="262">
        <f>T338</f>
        <v>0</v>
      </c>
      <c r="U320" s="262">
        <v>0</v>
      </c>
      <c r="V320" s="262">
        <f>V338</f>
        <v>0</v>
      </c>
      <c r="W320" s="138">
        <f>J320+K320+L320+M320+N320+P320+R320+T320+V320</f>
        <v>1483.3</v>
      </c>
      <c r="X320" s="22">
        <v>2016</v>
      </c>
      <c r="Y320" s="140">
        <f t="shared" si="111"/>
        <v>0</v>
      </c>
      <c r="Z320" s="141">
        <f t="shared" si="112"/>
        <v>0</v>
      </c>
      <c r="AA320" s="140">
        <f t="shared" si="113"/>
        <v>0</v>
      </c>
      <c r="AB320" s="140">
        <f t="shared" si="114"/>
        <v>0</v>
      </c>
    </row>
    <row r="321" spans="1:28" ht="63.75">
      <c r="A321" s="21" t="s">
        <v>19</v>
      </c>
      <c r="B321" s="22">
        <v>1</v>
      </c>
      <c r="C321" s="22">
        <v>2</v>
      </c>
      <c r="D321" s="22">
        <v>3</v>
      </c>
      <c r="E321" s="22">
        <v>0</v>
      </c>
      <c r="F321" s="22">
        <v>0</v>
      </c>
      <c r="G321" s="43"/>
      <c r="H321" s="44" t="s">
        <v>264</v>
      </c>
      <c r="I321" s="43" t="s">
        <v>28</v>
      </c>
      <c r="J321" s="120">
        <v>67.6</v>
      </c>
      <c r="K321" s="120">
        <v>97</v>
      </c>
      <c r="L321" s="120">
        <v>94</v>
      </c>
      <c r="M321" s="72">
        <v>98.4</v>
      </c>
      <c r="N321" s="72">
        <v>79.7</v>
      </c>
      <c r="O321" s="72">
        <v>85.9</v>
      </c>
      <c r="P321" s="264">
        <v>85.9</v>
      </c>
      <c r="Q321" s="264">
        <v>93.8</v>
      </c>
      <c r="R321" s="264">
        <v>93.8</v>
      </c>
      <c r="S321" s="264">
        <v>93.8</v>
      </c>
      <c r="T321" s="264">
        <v>93.8</v>
      </c>
      <c r="U321" s="264">
        <v>93.8</v>
      </c>
      <c r="V321" s="264">
        <v>93.8</v>
      </c>
      <c r="W321" s="129">
        <f>V321</f>
        <v>93.8</v>
      </c>
      <c r="X321" s="43">
        <v>2024</v>
      </c>
      <c r="Y321" s="140">
        <f t="shared" si="111"/>
        <v>0</v>
      </c>
      <c r="Z321" s="141">
        <f t="shared" si="112"/>
        <v>0</v>
      </c>
      <c r="AA321" s="140">
        <f t="shared" si="113"/>
        <v>0</v>
      </c>
      <c r="AB321" s="140">
        <f t="shared" si="114"/>
        <v>0</v>
      </c>
    </row>
    <row r="322" spans="1:28" ht="63.75">
      <c r="A322" s="21" t="s">
        <v>19</v>
      </c>
      <c r="B322" s="22">
        <v>1</v>
      </c>
      <c r="C322" s="22">
        <v>2</v>
      </c>
      <c r="D322" s="22">
        <v>3</v>
      </c>
      <c r="E322" s="22">
        <v>0</v>
      </c>
      <c r="F322" s="22">
        <v>0</v>
      </c>
      <c r="G322" s="43"/>
      <c r="H322" s="44" t="s">
        <v>265</v>
      </c>
      <c r="I322" s="43" t="s">
        <v>57</v>
      </c>
      <c r="J322" s="131">
        <v>46</v>
      </c>
      <c r="K322" s="131">
        <v>65</v>
      </c>
      <c r="L322" s="131">
        <v>63</v>
      </c>
      <c r="M322" s="95">
        <v>63</v>
      </c>
      <c r="N322" s="95">
        <v>63</v>
      </c>
      <c r="O322" s="95">
        <v>63</v>
      </c>
      <c r="P322" s="270">
        <v>63</v>
      </c>
      <c r="Q322" s="270">
        <v>63</v>
      </c>
      <c r="R322" s="270">
        <v>63</v>
      </c>
      <c r="S322" s="270">
        <v>63</v>
      </c>
      <c r="T322" s="270">
        <v>63</v>
      </c>
      <c r="U322" s="270">
        <v>63</v>
      </c>
      <c r="V322" s="270">
        <v>63</v>
      </c>
      <c r="W322" s="131">
        <f>V322</f>
        <v>63</v>
      </c>
      <c r="X322" s="43">
        <v>2022</v>
      </c>
      <c r="Y322" s="140">
        <f t="shared" si="111"/>
        <v>0</v>
      </c>
      <c r="Z322" s="141">
        <f t="shared" si="112"/>
        <v>0</v>
      </c>
      <c r="AA322" s="140">
        <f t="shared" si="113"/>
        <v>0</v>
      </c>
      <c r="AB322" s="140">
        <f t="shared" si="114"/>
        <v>0</v>
      </c>
    </row>
    <row r="323" spans="1:28" ht="63.75">
      <c r="A323" s="36" t="s">
        <v>19</v>
      </c>
      <c r="B323" s="37">
        <v>1</v>
      </c>
      <c r="C323" s="37">
        <v>2</v>
      </c>
      <c r="D323" s="37">
        <v>3</v>
      </c>
      <c r="E323" s="37">
        <v>0</v>
      </c>
      <c r="F323" s="37">
        <v>1</v>
      </c>
      <c r="G323" s="38"/>
      <c r="H323" s="39" t="s">
        <v>266</v>
      </c>
      <c r="I323" s="38" t="s">
        <v>43</v>
      </c>
      <c r="J323" s="87" t="s">
        <v>44</v>
      </c>
      <c r="K323" s="87" t="s">
        <v>44</v>
      </c>
      <c r="L323" s="292" t="s">
        <v>44</v>
      </c>
      <c r="M323" s="125" t="s">
        <v>44</v>
      </c>
      <c r="N323" s="125" t="s">
        <v>44</v>
      </c>
      <c r="O323" s="125" t="s">
        <v>44</v>
      </c>
      <c r="P323" s="265" t="s">
        <v>44</v>
      </c>
      <c r="Q323" s="265" t="s">
        <v>44</v>
      </c>
      <c r="R323" s="265" t="s">
        <v>44</v>
      </c>
      <c r="S323" s="265" t="s">
        <v>44</v>
      </c>
      <c r="T323" s="265" t="s">
        <v>44</v>
      </c>
      <c r="U323" s="265" t="s">
        <v>44</v>
      </c>
      <c r="V323" s="265" t="s">
        <v>44</v>
      </c>
      <c r="W323" s="87" t="s">
        <v>44</v>
      </c>
      <c r="X323" s="38">
        <v>2024</v>
      </c>
      <c r="Y323" s="140"/>
      <c r="Z323" s="141"/>
      <c r="AA323" s="140"/>
      <c r="AB323" s="140"/>
    </row>
    <row r="324" spans="1:28" ht="63.75">
      <c r="A324" s="21" t="s">
        <v>19</v>
      </c>
      <c r="B324" s="22">
        <v>1</v>
      </c>
      <c r="C324" s="22">
        <v>2</v>
      </c>
      <c r="D324" s="22">
        <v>3</v>
      </c>
      <c r="E324" s="22">
        <v>0</v>
      </c>
      <c r="F324" s="22">
        <v>1</v>
      </c>
      <c r="G324" s="252"/>
      <c r="H324" s="46" t="s">
        <v>267</v>
      </c>
      <c r="I324" s="43" t="s">
        <v>57</v>
      </c>
      <c r="J324" s="131">
        <v>1</v>
      </c>
      <c r="K324" s="131">
        <v>1</v>
      </c>
      <c r="L324" s="131">
        <v>1</v>
      </c>
      <c r="M324" s="95">
        <v>1</v>
      </c>
      <c r="N324" s="95">
        <v>1</v>
      </c>
      <c r="O324" s="95">
        <v>1</v>
      </c>
      <c r="P324" s="270">
        <v>1</v>
      </c>
      <c r="Q324" s="270">
        <v>1</v>
      </c>
      <c r="R324" s="270">
        <v>1</v>
      </c>
      <c r="S324" s="270">
        <v>1</v>
      </c>
      <c r="T324" s="270">
        <v>1</v>
      </c>
      <c r="U324" s="270">
        <v>1</v>
      </c>
      <c r="V324" s="270">
        <v>1</v>
      </c>
      <c r="W324" s="131">
        <f aca="true" t="shared" si="118" ref="W324:W336">J324+K324+L324+M324+N324+P324+R324+T324+V324</f>
        <v>9</v>
      </c>
      <c r="X324" s="43">
        <v>2024</v>
      </c>
      <c r="Y324" s="140">
        <f aca="true" t="shared" si="119" ref="Y324:Y355">P324-O324</f>
        <v>0</v>
      </c>
      <c r="Z324" s="141">
        <f aca="true" t="shared" si="120" ref="Z324:Z355">R324-Q324</f>
        <v>0</v>
      </c>
      <c r="AA324" s="140">
        <f aca="true" t="shared" si="121" ref="AA324:AA355">T324-S324</f>
        <v>0</v>
      </c>
      <c r="AB324" s="140">
        <f aca="true" t="shared" si="122" ref="AB324:AB355">V324-U324</f>
        <v>0</v>
      </c>
    </row>
    <row r="325" spans="1:28" s="2" customFormat="1" ht="51">
      <c r="A325" s="36" t="s">
        <v>19</v>
      </c>
      <c r="B325" s="37">
        <v>1</v>
      </c>
      <c r="C325" s="37">
        <v>2</v>
      </c>
      <c r="D325" s="37">
        <v>3</v>
      </c>
      <c r="E325" s="37">
        <v>0</v>
      </c>
      <c r="F325" s="37">
        <v>2</v>
      </c>
      <c r="G325" s="37"/>
      <c r="H325" s="40" t="s">
        <v>268</v>
      </c>
      <c r="I325" s="37" t="s">
        <v>21</v>
      </c>
      <c r="J325" s="88">
        <f aca="true" t="shared" si="123" ref="J325:V325">J326+J327</f>
        <v>22780.6</v>
      </c>
      <c r="K325" s="88">
        <f t="shared" si="123"/>
        <v>33103.1</v>
      </c>
      <c r="L325" s="88">
        <f t="shared" si="123"/>
        <v>69658.2</v>
      </c>
      <c r="M325" s="89">
        <f t="shared" si="123"/>
        <v>73730.7</v>
      </c>
      <c r="N325" s="89">
        <v>50665.3</v>
      </c>
      <c r="O325" s="89">
        <v>88339.9</v>
      </c>
      <c r="P325" s="269">
        <f t="shared" si="123"/>
        <v>73081.7</v>
      </c>
      <c r="Q325" s="269">
        <v>55089.7</v>
      </c>
      <c r="R325" s="269">
        <f t="shared" si="123"/>
        <v>55089.7</v>
      </c>
      <c r="S325" s="269">
        <v>0</v>
      </c>
      <c r="T325" s="269">
        <f t="shared" si="123"/>
        <v>0</v>
      </c>
      <c r="U325" s="269">
        <v>0</v>
      </c>
      <c r="V325" s="269">
        <f t="shared" si="123"/>
        <v>0</v>
      </c>
      <c r="W325" s="88">
        <f t="shared" si="118"/>
        <v>378109.3</v>
      </c>
      <c r="X325" s="37">
        <v>2022</v>
      </c>
      <c r="Y325" s="140">
        <f t="shared" si="119"/>
        <v>-15258.2</v>
      </c>
      <c r="Z325" s="141">
        <f t="shared" si="120"/>
        <v>0</v>
      </c>
      <c r="AA325" s="140">
        <f t="shared" si="121"/>
        <v>0</v>
      </c>
      <c r="AB325" s="140">
        <f t="shared" si="122"/>
        <v>0</v>
      </c>
    </row>
    <row r="326" spans="1:28" s="2" customFormat="1" ht="12.75">
      <c r="A326" s="21" t="s">
        <v>19</v>
      </c>
      <c r="B326" s="22">
        <v>1</v>
      </c>
      <c r="C326" s="22">
        <v>2</v>
      </c>
      <c r="D326" s="22">
        <v>3</v>
      </c>
      <c r="E326" s="22">
        <v>0</v>
      </c>
      <c r="F326" s="22">
        <v>2</v>
      </c>
      <c r="G326" s="22">
        <v>3</v>
      </c>
      <c r="H326" s="26" t="s">
        <v>22</v>
      </c>
      <c r="I326" s="22" t="s">
        <v>21</v>
      </c>
      <c r="J326" s="138">
        <f>16330.7+375+375.2</f>
        <v>17080.9</v>
      </c>
      <c r="K326" s="138">
        <v>32043.1</v>
      </c>
      <c r="L326" s="138">
        <f>69658.2-1401.6</f>
        <v>68256.6</v>
      </c>
      <c r="M326" s="91">
        <v>72808.6</v>
      </c>
      <c r="N326" s="91">
        <v>50047.2</v>
      </c>
      <c r="O326" s="91">
        <v>63139.9</v>
      </c>
      <c r="P326" s="262">
        <f>72019.6-128.18339</f>
        <v>71891.4</v>
      </c>
      <c r="Q326" s="262">
        <v>55089.7</v>
      </c>
      <c r="R326" s="262">
        <v>55089.7</v>
      </c>
      <c r="S326" s="262">
        <v>0</v>
      </c>
      <c r="T326" s="262">
        <v>0</v>
      </c>
      <c r="U326" s="262">
        <v>0</v>
      </c>
      <c r="V326" s="262">
        <v>0</v>
      </c>
      <c r="W326" s="138">
        <f t="shared" si="118"/>
        <v>367217.5</v>
      </c>
      <c r="X326" s="22">
        <v>2022</v>
      </c>
      <c r="Y326" s="140">
        <f t="shared" si="119"/>
        <v>8751.5</v>
      </c>
      <c r="Z326" s="141">
        <f t="shared" si="120"/>
        <v>0</v>
      </c>
      <c r="AA326" s="140">
        <f t="shared" si="121"/>
        <v>0</v>
      </c>
      <c r="AB326" s="140">
        <f t="shared" si="122"/>
        <v>0</v>
      </c>
    </row>
    <row r="327" spans="1:28" s="2" customFormat="1" ht="12.75">
      <c r="A327" s="21" t="s">
        <v>19</v>
      </c>
      <c r="B327" s="22">
        <v>1</v>
      </c>
      <c r="C327" s="22">
        <v>2</v>
      </c>
      <c r="D327" s="22">
        <v>3</v>
      </c>
      <c r="E327" s="22">
        <v>0</v>
      </c>
      <c r="F327" s="22">
        <v>2</v>
      </c>
      <c r="G327" s="22">
        <v>2</v>
      </c>
      <c r="H327" s="26" t="s">
        <v>23</v>
      </c>
      <c r="I327" s="22" t="s">
        <v>21</v>
      </c>
      <c r="J327" s="138">
        <f>5000+699.7</f>
        <v>5699.7</v>
      </c>
      <c r="K327" s="138">
        <v>1060</v>
      </c>
      <c r="L327" s="138">
        <v>1401.6</v>
      </c>
      <c r="M327" s="91">
        <v>922.1</v>
      </c>
      <c r="N327" s="91">
        <v>618.1</v>
      </c>
      <c r="O327" s="91">
        <v>25200</v>
      </c>
      <c r="P327" s="262">
        <v>1190.3</v>
      </c>
      <c r="Q327" s="262">
        <v>0</v>
      </c>
      <c r="R327" s="262">
        <v>0</v>
      </c>
      <c r="S327" s="262">
        <v>0</v>
      </c>
      <c r="T327" s="262">
        <v>0</v>
      </c>
      <c r="U327" s="262">
        <v>0</v>
      </c>
      <c r="V327" s="262">
        <v>0</v>
      </c>
      <c r="W327" s="138">
        <f t="shared" si="118"/>
        <v>10891.8</v>
      </c>
      <c r="X327" s="22">
        <v>2021</v>
      </c>
      <c r="Y327" s="140">
        <f t="shared" si="119"/>
        <v>-24009.7</v>
      </c>
      <c r="Z327" s="141">
        <f t="shared" si="120"/>
        <v>0</v>
      </c>
      <c r="AA327" s="140">
        <f t="shared" si="121"/>
        <v>0</v>
      </c>
      <c r="AB327" s="140">
        <f t="shared" si="122"/>
        <v>0</v>
      </c>
    </row>
    <row r="328" spans="1:28" ht="29.25" customHeight="1">
      <c r="A328" s="21" t="s">
        <v>19</v>
      </c>
      <c r="B328" s="22">
        <v>1</v>
      </c>
      <c r="C328" s="22">
        <v>2</v>
      </c>
      <c r="D328" s="22">
        <v>3</v>
      </c>
      <c r="E328" s="22">
        <v>0</v>
      </c>
      <c r="F328" s="22">
        <v>2</v>
      </c>
      <c r="G328" s="43"/>
      <c r="H328" s="46" t="s">
        <v>269</v>
      </c>
      <c r="I328" s="43" t="s">
        <v>242</v>
      </c>
      <c r="J328" s="120">
        <f>340+2065</f>
        <v>2405</v>
      </c>
      <c r="K328" s="120">
        <v>314</v>
      </c>
      <c r="L328" s="120">
        <v>1359.2</v>
      </c>
      <c r="M328" s="72">
        <v>1695.5</v>
      </c>
      <c r="N328" s="72">
        <v>0</v>
      </c>
      <c r="O328" s="72">
        <v>0</v>
      </c>
      <c r="P328" s="264">
        <v>68.2</v>
      </c>
      <c r="Q328" s="264">
        <v>0</v>
      </c>
      <c r="R328" s="264">
        <v>0</v>
      </c>
      <c r="S328" s="264">
        <v>0</v>
      </c>
      <c r="T328" s="264">
        <v>0</v>
      </c>
      <c r="U328" s="264">
        <v>0</v>
      </c>
      <c r="V328" s="264">
        <v>0</v>
      </c>
      <c r="W328" s="120">
        <f t="shared" si="118"/>
        <v>5841.9</v>
      </c>
      <c r="X328" s="303">
        <v>2021</v>
      </c>
      <c r="Y328" s="140">
        <f t="shared" si="119"/>
        <v>68.2</v>
      </c>
      <c r="Z328" s="141">
        <f t="shared" si="120"/>
        <v>0</v>
      </c>
      <c r="AA328" s="140">
        <f t="shared" si="121"/>
        <v>0</v>
      </c>
      <c r="AB328" s="140">
        <f t="shared" si="122"/>
        <v>0</v>
      </c>
    </row>
    <row r="329" spans="1:28" ht="25.5">
      <c r="A329" s="21" t="s">
        <v>19</v>
      </c>
      <c r="B329" s="22">
        <v>1</v>
      </c>
      <c r="C329" s="22">
        <v>2</v>
      </c>
      <c r="D329" s="22">
        <v>3</v>
      </c>
      <c r="E329" s="22">
        <v>0</v>
      </c>
      <c r="F329" s="22">
        <v>2</v>
      </c>
      <c r="G329" s="43"/>
      <c r="H329" s="46" t="s">
        <v>270</v>
      </c>
      <c r="I329" s="43" t="s">
        <v>242</v>
      </c>
      <c r="J329" s="120">
        <v>4714</v>
      </c>
      <c r="K329" s="120">
        <v>7987.3</v>
      </c>
      <c r="L329" s="120">
        <v>21518.9</v>
      </c>
      <c r="M329" s="72">
        <v>20906</v>
      </c>
      <c r="N329" s="72">
        <v>4446.4</v>
      </c>
      <c r="O329" s="217">
        <v>3624.2</v>
      </c>
      <c r="P329" s="271">
        <v>5286</v>
      </c>
      <c r="Q329" s="264">
        <v>6968</v>
      </c>
      <c r="R329" s="264">
        <v>6968</v>
      </c>
      <c r="S329" s="264">
        <v>0</v>
      </c>
      <c r="T329" s="264">
        <v>0</v>
      </c>
      <c r="U329" s="264">
        <v>0</v>
      </c>
      <c r="V329" s="264">
        <v>0</v>
      </c>
      <c r="W329" s="120">
        <f t="shared" si="118"/>
        <v>71826.6</v>
      </c>
      <c r="X329" s="43">
        <v>2022</v>
      </c>
      <c r="Y329" s="140">
        <f t="shared" si="119"/>
        <v>1661.8</v>
      </c>
      <c r="Z329" s="141">
        <f t="shared" si="120"/>
        <v>0</v>
      </c>
      <c r="AA329" s="140">
        <f t="shared" si="121"/>
        <v>0</v>
      </c>
      <c r="AB329" s="140">
        <f t="shared" si="122"/>
        <v>0</v>
      </c>
    </row>
    <row r="330" spans="1:28" ht="25.5">
      <c r="A330" s="21" t="s">
        <v>19</v>
      </c>
      <c r="B330" s="22">
        <v>1</v>
      </c>
      <c r="C330" s="22">
        <v>2</v>
      </c>
      <c r="D330" s="22">
        <v>3</v>
      </c>
      <c r="E330" s="22">
        <v>0</v>
      </c>
      <c r="F330" s="22">
        <v>2</v>
      </c>
      <c r="G330" s="43"/>
      <c r="H330" s="46" t="s">
        <v>271</v>
      </c>
      <c r="I330" s="43" t="s">
        <v>242</v>
      </c>
      <c r="J330" s="120">
        <v>3816</v>
      </c>
      <c r="K330" s="120">
        <v>2775</v>
      </c>
      <c r="L330" s="120">
        <v>1598.7</v>
      </c>
      <c r="M330" s="72">
        <v>2616.3</v>
      </c>
      <c r="N330" s="72">
        <v>3260.9</v>
      </c>
      <c r="O330" s="217">
        <v>4213</v>
      </c>
      <c r="P330" s="271">
        <v>5946.5</v>
      </c>
      <c r="Q330" s="264">
        <v>2684</v>
      </c>
      <c r="R330" s="264">
        <v>2684</v>
      </c>
      <c r="S330" s="264">
        <v>0</v>
      </c>
      <c r="T330" s="264">
        <v>0</v>
      </c>
      <c r="U330" s="264">
        <v>0</v>
      </c>
      <c r="V330" s="264">
        <v>0</v>
      </c>
      <c r="W330" s="120">
        <f t="shared" si="118"/>
        <v>22697.4</v>
      </c>
      <c r="X330" s="43">
        <v>2022</v>
      </c>
      <c r="Y330" s="140">
        <f t="shared" si="119"/>
        <v>1733.5</v>
      </c>
      <c r="Z330" s="141">
        <f t="shared" si="120"/>
        <v>0</v>
      </c>
      <c r="AA330" s="140">
        <f t="shared" si="121"/>
        <v>0</v>
      </c>
      <c r="AB330" s="140">
        <f t="shared" si="122"/>
        <v>0</v>
      </c>
    </row>
    <row r="331" spans="1:28" ht="25.5">
      <c r="A331" s="21" t="s">
        <v>19</v>
      </c>
      <c r="B331" s="22">
        <v>1</v>
      </c>
      <c r="C331" s="22">
        <v>2</v>
      </c>
      <c r="D331" s="22">
        <v>3</v>
      </c>
      <c r="E331" s="22">
        <v>0</v>
      </c>
      <c r="F331" s="22">
        <v>2</v>
      </c>
      <c r="G331" s="43"/>
      <c r="H331" s="46" t="s">
        <v>272</v>
      </c>
      <c r="I331" s="43" t="s">
        <v>57</v>
      </c>
      <c r="J331" s="131">
        <v>5</v>
      </c>
      <c r="K331" s="131">
        <v>26</v>
      </c>
      <c r="L331" s="131">
        <v>27</v>
      </c>
      <c r="M331" s="95">
        <v>19</v>
      </c>
      <c r="N331" s="95">
        <v>10</v>
      </c>
      <c r="O331" s="190">
        <v>18</v>
      </c>
      <c r="P331" s="281">
        <v>24</v>
      </c>
      <c r="Q331" s="270">
        <v>0</v>
      </c>
      <c r="R331" s="270">
        <v>0</v>
      </c>
      <c r="S331" s="270">
        <v>0</v>
      </c>
      <c r="T331" s="270">
        <v>0</v>
      </c>
      <c r="U331" s="270">
        <v>0</v>
      </c>
      <c r="V331" s="270">
        <v>0</v>
      </c>
      <c r="W331" s="120">
        <f t="shared" si="118"/>
        <v>111</v>
      </c>
      <c r="X331" s="43">
        <v>2021</v>
      </c>
      <c r="Y331" s="140">
        <f t="shared" si="119"/>
        <v>6</v>
      </c>
      <c r="Z331" s="141">
        <f t="shared" si="120"/>
        <v>0</v>
      </c>
      <c r="AA331" s="140">
        <f t="shared" si="121"/>
        <v>0</v>
      </c>
      <c r="AB331" s="140">
        <f t="shared" si="122"/>
        <v>0</v>
      </c>
    </row>
    <row r="332" spans="1:28" ht="25.5">
      <c r="A332" s="21" t="s">
        <v>19</v>
      </c>
      <c r="B332" s="22">
        <v>1</v>
      </c>
      <c r="C332" s="22">
        <v>2</v>
      </c>
      <c r="D332" s="22">
        <v>3</v>
      </c>
      <c r="E332" s="22">
        <v>0</v>
      </c>
      <c r="F332" s="22">
        <v>2</v>
      </c>
      <c r="G332" s="43"/>
      <c r="H332" s="46" t="s">
        <v>273</v>
      </c>
      <c r="I332" s="43" t="s">
        <v>274</v>
      </c>
      <c r="J332" s="120">
        <v>320</v>
      </c>
      <c r="K332" s="120">
        <v>540</v>
      </c>
      <c r="L332" s="131">
        <v>600</v>
      </c>
      <c r="M332" s="72">
        <v>1808.7</v>
      </c>
      <c r="N332" s="72">
        <v>1200</v>
      </c>
      <c r="O332" s="217">
        <v>0</v>
      </c>
      <c r="P332" s="271">
        <v>0</v>
      </c>
      <c r="Q332" s="264">
        <v>0</v>
      </c>
      <c r="R332" s="264">
        <v>0</v>
      </c>
      <c r="S332" s="264">
        <v>0</v>
      </c>
      <c r="T332" s="264">
        <v>0</v>
      </c>
      <c r="U332" s="264">
        <v>0</v>
      </c>
      <c r="V332" s="264">
        <v>0</v>
      </c>
      <c r="W332" s="120">
        <f t="shared" si="118"/>
        <v>4468.7</v>
      </c>
      <c r="X332" s="43">
        <v>2020</v>
      </c>
      <c r="Y332" s="140">
        <f t="shared" si="119"/>
        <v>0</v>
      </c>
      <c r="Z332" s="141">
        <f t="shared" si="120"/>
        <v>0</v>
      </c>
      <c r="AA332" s="140">
        <f t="shared" si="121"/>
        <v>0</v>
      </c>
      <c r="AB332" s="140">
        <f t="shared" si="122"/>
        <v>0</v>
      </c>
    </row>
    <row r="333" spans="1:28" ht="38.25">
      <c r="A333" s="21" t="s">
        <v>19</v>
      </c>
      <c r="B333" s="22">
        <v>1</v>
      </c>
      <c r="C333" s="22">
        <v>2</v>
      </c>
      <c r="D333" s="22">
        <v>3</v>
      </c>
      <c r="E333" s="22">
        <v>0</v>
      </c>
      <c r="F333" s="22">
        <v>2</v>
      </c>
      <c r="G333" s="43"/>
      <c r="H333" s="44" t="s">
        <v>275</v>
      </c>
      <c r="I333" s="43" t="s">
        <v>242</v>
      </c>
      <c r="J333" s="120">
        <v>16</v>
      </c>
      <c r="K333" s="120">
        <v>882.8</v>
      </c>
      <c r="L333" s="120">
        <f>2139.5+26.66</f>
        <v>2166.2</v>
      </c>
      <c r="M333" s="72">
        <v>2358.9</v>
      </c>
      <c r="N333" s="72">
        <v>1614.4</v>
      </c>
      <c r="O333" s="217">
        <v>672.7</v>
      </c>
      <c r="P333" s="271">
        <v>1572.6</v>
      </c>
      <c r="Q333" s="264">
        <v>2693</v>
      </c>
      <c r="R333" s="264">
        <v>2693</v>
      </c>
      <c r="S333" s="264">
        <v>0</v>
      </c>
      <c r="T333" s="264">
        <v>0</v>
      </c>
      <c r="U333" s="264">
        <v>0</v>
      </c>
      <c r="V333" s="264">
        <v>0</v>
      </c>
      <c r="W333" s="120">
        <f t="shared" si="118"/>
        <v>11303.9</v>
      </c>
      <c r="X333" s="43">
        <v>2022</v>
      </c>
      <c r="Y333" s="140">
        <f t="shared" si="119"/>
        <v>899.9</v>
      </c>
      <c r="Z333" s="141">
        <f t="shared" si="120"/>
        <v>0</v>
      </c>
      <c r="AA333" s="140">
        <f t="shared" si="121"/>
        <v>0</v>
      </c>
      <c r="AB333" s="140">
        <f t="shared" si="122"/>
        <v>0</v>
      </c>
    </row>
    <row r="334" spans="1:28" ht="38.25">
      <c r="A334" s="21" t="s">
        <v>19</v>
      </c>
      <c r="B334" s="22">
        <v>1</v>
      </c>
      <c r="C334" s="22">
        <v>2</v>
      </c>
      <c r="D334" s="22">
        <v>3</v>
      </c>
      <c r="E334" s="22">
        <v>0</v>
      </c>
      <c r="F334" s="22">
        <v>2</v>
      </c>
      <c r="G334" s="43"/>
      <c r="H334" s="44" t="s">
        <v>276</v>
      </c>
      <c r="I334" s="43" t="s">
        <v>242</v>
      </c>
      <c r="J334" s="120">
        <v>5</v>
      </c>
      <c r="K334" s="120">
        <v>26.6</v>
      </c>
      <c r="L334" s="120">
        <v>378.1</v>
      </c>
      <c r="M334" s="72">
        <v>56</v>
      </c>
      <c r="N334" s="72">
        <v>0</v>
      </c>
      <c r="O334" s="217">
        <v>8.3</v>
      </c>
      <c r="P334" s="271">
        <v>36.3</v>
      </c>
      <c r="Q334" s="264">
        <v>271</v>
      </c>
      <c r="R334" s="264">
        <v>271</v>
      </c>
      <c r="S334" s="264">
        <v>0</v>
      </c>
      <c r="T334" s="264">
        <v>0</v>
      </c>
      <c r="U334" s="264">
        <v>0</v>
      </c>
      <c r="V334" s="264">
        <v>0</v>
      </c>
      <c r="W334" s="120">
        <f t="shared" si="118"/>
        <v>773</v>
      </c>
      <c r="X334" s="43">
        <v>2022</v>
      </c>
      <c r="Y334" s="140">
        <f t="shared" si="119"/>
        <v>28</v>
      </c>
      <c r="Z334" s="141">
        <f t="shared" si="120"/>
        <v>0</v>
      </c>
      <c r="AA334" s="140">
        <f t="shared" si="121"/>
        <v>0</v>
      </c>
      <c r="AB334" s="140">
        <f t="shared" si="122"/>
        <v>0</v>
      </c>
    </row>
    <row r="335" spans="1:28" s="2" customFormat="1" ht="38.25">
      <c r="A335" s="36" t="s">
        <v>19</v>
      </c>
      <c r="B335" s="37">
        <v>1</v>
      </c>
      <c r="C335" s="37">
        <v>2</v>
      </c>
      <c r="D335" s="37">
        <v>3</v>
      </c>
      <c r="E335" s="37">
        <v>0</v>
      </c>
      <c r="F335" s="37">
        <v>3</v>
      </c>
      <c r="G335" s="37"/>
      <c r="H335" s="40" t="s">
        <v>277</v>
      </c>
      <c r="I335" s="37" t="s">
        <v>21</v>
      </c>
      <c r="J335" s="88">
        <f>J336+J337+J338</f>
        <v>2684.1</v>
      </c>
      <c r="K335" s="88">
        <f>K336+K337</f>
        <v>16018.5</v>
      </c>
      <c r="L335" s="88">
        <f>L336+L337</f>
        <v>19000.9</v>
      </c>
      <c r="M335" s="89">
        <f aca="true" t="shared" si="124" ref="M335:V335">M336+M337+M338</f>
        <v>27997.6</v>
      </c>
      <c r="N335" s="89">
        <v>33036.3</v>
      </c>
      <c r="O335" s="89">
        <v>594</v>
      </c>
      <c r="P335" s="269">
        <f t="shared" si="124"/>
        <v>6238.1</v>
      </c>
      <c r="Q335" s="269">
        <v>7869</v>
      </c>
      <c r="R335" s="269">
        <f t="shared" si="124"/>
        <v>7869</v>
      </c>
      <c r="S335" s="269">
        <v>0</v>
      </c>
      <c r="T335" s="269">
        <f t="shared" si="124"/>
        <v>0</v>
      </c>
      <c r="U335" s="269">
        <v>0</v>
      </c>
      <c r="V335" s="269">
        <f t="shared" si="124"/>
        <v>0</v>
      </c>
      <c r="W335" s="88">
        <f t="shared" si="118"/>
        <v>112844.5</v>
      </c>
      <c r="X335" s="37">
        <v>2022</v>
      </c>
      <c r="Y335" s="140">
        <f t="shared" si="119"/>
        <v>5644.1</v>
      </c>
      <c r="Z335" s="141">
        <f t="shared" si="120"/>
        <v>0</v>
      </c>
      <c r="AA335" s="140">
        <f t="shared" si="121"/>
        <v>0</v>
      </c>
      <c r="AB335" s="140">
        <f t="shared" si="122"/>
        <v>0</v>
      </c>
    </row>
    <row r="336" spans="1:28" s="2" customFormat="1" ht="12.75">
      <c r="A336" s="21" t="s">
        <v>19</v>
      </c>
      <c r="B336" s="22">
        <v>1</v>
      </c>
      <c r="C336" s="22">
        <v>2</v>
      </c>
      <c r="D336" s="22">
        <v>3</v>
      </c>
      <c r="E336" s="22">
        <v>0</v>
      </c>
      <c r="F336" s="22">
        <v>3</v>
      </c>
      <c r="G336" s="22">
        <v>3</v>
      </c>
      <c r="H336" s="26" t="s">
        <v>22</v>
      </c>
      <c r="I336" s="22" t="s">
        <v>21</v>
      </c>
      <c r="J336" s="138">
        <f>287.5+877.6-231</f>
        <v>934.1</v>
      </c>
      <c r="K336" s="138">
        <v>16018.5</v>
      </c>
      <c r="L336" s="138">
        <f>19000.859-300</f>
        <v>18700.9</v>
      </c>
      <c r="M336" s="91">
        <v>20485.1</v>
      </c>
      <c r="N336" s="91">
        <v>18233</v>
      </c>
      <c r="O336" s="196">
        <v>594</v>
      </c>
      <c r="P336" s="280">
        <v>6238.1</v>
      </c>
      <c r="Q336" s="262">
        <v>7869</v>
      </c>
      <c r="R336" s="262">
        <v>7869</v>
      </c>
      <c r="S336" s="262">
        <v>0</v>
      </c>
      <c r="T336" s="262">
        <v>0</v>
      </c>
      <c r="U336" s="262">
        <v>0</v>
      </c>
      <c r="V336" s="262">
        <v>0</v>
      </c>
      <c r="W336" s="304">
        <f t="shared" si="118"/>
        <v>88478.7</v>
      </c>
      <c r="X336" s="22">
        <v>2022</v>
      </c>
      <c r="Y336" s="140">
        <f t="shared" si="119"/>
        <v>5644.1</v>
      </c>
      <c r="Z336" s="141">
        <f t="shared" si="120"/>
        <v>0</v>
      </c>
      <c r="AA336" s="140">
        <f t="shared" si="121"/>
        <v>0</v>
      </c>
      <c r="AB336" s="140">
        <f t="shared" si="122"/>
        <v>0</v>
      </c>
    </row>
    <row r="337" spans="1:28" s="2" customFormat="1" ht="12.75">
      <c r="A337" s="21" t="s">
        <v>19</v>
      </c>
      <c r="B337" s="22">
        <v>1</v>
      </c>
      <c r="C337" s="22">
        <v>2</v>
      </c>
      <c r="D337" s="22">
        <v>3</v>
      </c>
      <c r="E337" s="22">
        <v>0</v>
      </c>
      <c r="F337" s="22">
        <v>3</v>
      </c>
      <c r="G337" s="22">
        <v>2</v>
      </c>
      <c r="H337" s="26" t="s">
        <v>23</v>
      </c>
      <c r="I337" s="22" t="s">
        <v>21</v>
      </c>
      <c r="J337" s="138">
        <v>266.7</v>
      </c>
      <c r="K337" s="138">
        <v>0</v>
      </c>
      <c r="L337" s="138">
        <v>300</v>
      </c>
      <c r="M337" s="91">
        <v>7512.5</v>
      </c>
      <c r="N337" s="91">
        <v>14803.3</v>
      </c>
      <c r="O337" s="91">
        <v>0</v>
      </c>
      <c r="P337" s="262">
        <v>0</v>
      </c>
      <c r="Q337" s="262">
        <v>0</v>
      </c>
      <c r="R337" s="262">
        <v>0</v>
      </c>
      <c r="S337" s="262">
        <v>0</v>
      </c>
      <c r="T337" s="262">
        <v>0</v>
      </c>
      <c r="U337" s="262">
        <v>0</v>
      </c>
      <c r="V337" s="262">
        <v>0</v>
      </c>
      <c r="W337" s="305">
        <f>SUM(J337:V337)</f>
        <v>22882.5</v>
      </c>
      <c r="X337" s="22">
        <v>2020</v>
      </c>
      <c r="Y337" s="140">
        <f t="shared" si="119"/>
        <v>0</v>
      </c>
      <c r="Z337" s="141">
        <f t="shared" si="120"/>
        <v>0</v>
      </c>
      <c r="AA337" s="140">
        <f t="shared" si="121"/>
        <v>0</v>
      </c>
      <c r="AB337" s="140">
        <f t="shared" si="122"/>
        <v>0</v>
      </c>
    </row>
    <row r="338" spans="1:28" s="2" customFormat="1" ht="12.75">
      <c r="A338" s="21" t="s">
        <v>19</v>
      </c>
      <c r="B338" s="22">
        <v>1</v>
      </c>
      <c r="C338" s="22">
        <v>2</v>
      </c>
      <c r="D338" s="22">
        <v>3</v>
      </c>
      <c r="E338" s="22">
        <v>0</v>
      </c>
      <c r="F338" s="22">
        <v>3</v>
      </c>
      <c r="G338" s="22">
        <v>1</v>
      </c>
      <c r="H338" s="26" t="s">
        <v>24</v>
      </c>
      <c r="I338" s="22" t="s">
        <v>21</v>
      </c>
      <c r="J338" s="138">
        <v>1483.3</v>
      </c>
      <c r="K338" s="138">
        <v>0</v>
      </c>
      <c r="L338" s="138">
        <v>0</v>
      </c>
      <c r="M338" s="91">
        <v>0</v>
      </c>
      <c r="N338" s="91">
        <v>0</v>
      </c>
      <c r="O338" s="91">
        <v>0</v>
      </c>
      <c r="P338" s="262">
        <v>0</v>
      </c>
      <c r="Q338" s="262">
        <v>0</v>
      </c>
      <c r="R338" s="262">
        <v>0</v>
      </c>
      <c r="S338" s="262">
        <v>0</v>
      </c>
      <c r="T338" s="262">
        <v>0</v>
      </c>
      <c r="U338" s="262">
        <v>0</v>
      </c>
      <c r="V338" s="262">
        <v>0</v>
      </c>
      <c r="W338" s="304">
        <f>SUM(J338:V338)</f>
        <v>1483.3</v>
      </c>
      <c r="X338" s="22">
        <v>2016</v>
      </c>
      <c r="Y338" s="140">
        <f t="shared" si="119"/>
        <v>0</v>
      </c>
      <c r="Z338" s="141">
        <f t="shared" si="120"/>
        <v>0</v>
      </c>
      <c r="AA338" s="140">
        <f t="shared" si="121"/>
        <v>0</v>
      </c>
      <c r="AB338" s="140">
        <f t="shared" si="122"/>
        <v>0</v>
      </c>
    </row>
    <row r="339" spans="1:28" ht="25.5">
      <c r="A339" s="21" t="s">
        <v>19</v>
      </c>
      <c r="B339" s="22">
        <v>1</v>
      </c>
      <c r="C339" s="22">
        <v>2</v>
      </c>
      <c r="D339" s="22">
        <v>3</v>
      </c>
      <c r="E339" s="22">
        <v>0</v>
      </c>
      <c r="F339" s="22">
        <v>3</v>
      </c>
      <c r="G339" s="43"/>
      <c r="H339" s="46" t="s">
        <v>278</v>
      </c>
      <c r="I339" s="43" t="s">
        <v>57</v>
      </c>
      <c r="J339" s="131">
        <v>1</v>
      </c>
      <c r="K339" s="131">
        <v>5</v>
      </c>
      <c r="L339" s="131">
        <v>4</v>
      </c>
      <c r="M339" s="95">
        <v>2</v>
      </c>
      <c r="N339" s="95">
        <v>2</v>
      </c>
      <c r="O339" s="190">
        <v>0</v>
      </c>
      <c r="P339" s="281">
        <v>0</v>
      </c>
      <c r="Q339" s="270">
        <v>1</v>
      </c>
      <c r="R339" s="270">
        <v>1</v>
      </c>
      <c r="S339" s="270">
        <v>0</v>
      </c>
      <c r="T339" s="270">
        <v>0</v>
      </c>
      <c r="U339" s="270">
        <v>0</v>
      </c>
      <c r="V339" s="270">
        <v>0</v>
      </c>
      <c r="W339" s="173">
        <f>J339+K339+L339+M339+N339+P339+R339+T339+V339</f>
        <v>15</v>
      </c>
      <c r="X339" s="43">
        <v>2022</v>
      </c>
      <c r="Y339" s="140">
        <f t="shared" si="119"/>
        <v>0</v>
      </c>
      <c r="Z339" s="141">
        <f t="shared" si="120"/>
        <v>0</v>
      </c>
      <c r="AA339" s="140">
        <f t="shared" si="121"/>
        <v>0</v>
      </c>
      <c r="AB339" s="140">
        <f t="shared" si="122"/>
        <v>0</v>
      </c>
    </row>
    <row r="340" spans="1:28" ht="25.5">
      <c r="A340" s="21" t="s">
        <v>19</v>
      </c>
      <c r="B340" s="22">
        <v>1</v>
      </c>
      <c r="C340" s="22">
        <v>2</v>
      </c>
      <c r="D340" s="22">
        <v>3</v>
      </c>
      <c r="E340" s="22">
        <v>0</v>
      </c>
      <c r="F340" s="22">
        <v>3</v>
      </c>
      <c r="G340" s="43"/>
      <c r="H340" s="291" t="s">
        <v>279</v>
      </c>
      <c r="I340" s="43" t="s">
        <v>57</v>
      </c>
      <c r="J340" s="131">
        <v>1</v>
      </c>
      <c r="K340" s="131">
        <v>4</v>
      </c>
      <c r="L340" s="131">
        <v>5</v>
      </c>
      <c r="M340" s="95">
        <v>6</v>
      </c>
      <c r="N340" s="95">
        <v>2</v>
      </c>
      <c r="O340" s="95">
        <v>1</v>
      </c>
      <c r="P340" s="270">
        <v>2</v>
      </c>
      <c r="Q340" s="270">
        <v>0</v>
      </c>
      <c r="R340" s="270">
        <v>0</v>
      </c>
      <c r="S340" s="270">
        <v>0</v>
      </c>
      <c r="T340" s="270">
        <v>0</v>
      </c>
      <c r="U340" s="270">
        <v>0</v>
      </c>
      <c r="V340" s="270">
        <v>0</v>
      </c>
      <c r="W340" s="173">
        <f>J340+K340+L340+M340+N340+P340+R340+T340+V340</f>
        <v>20</v>
      </c>
      <c r="X340" s="43">
        <v>2021</v>
      </c>
      <c r="Y340" s="140">
        <f t="shared" si="119"/>
        <v>1</v>
      </c>
      <c r="Z340" s="141">
        <f t="shared" si="120"/>
        <v>0</v>
      </c>
      <c r="AA340" s="140">
        <f t="shared" si="121"/>
        <v>0</v>
      </c>
      <c r="AB340" s="140">
        <f t="shared" si="122"/>
        <v>0</v>
      </c>
    </row>
    <row r="341" spans="1:28" ht="38.25">
      <c r="A341" s="21" t="s">
        <v>19</v>
      </c>
      <c r="B341" s="22">
        <v>1</v>
      </c>
      <c r="C341" s="22">
        <v>2</v>
      </c>
      <c r="D341" s="22">
        <v>3</v>
      </c>
      <c r="E341" s="22">
        <v>0</v>
      </c>
      <c r="F341" s="22">
        <v>3</v>
      </c>
      <c r="G341" s="43"/>
      <c r="H341" s="291" t="s">
        <v>280</v>
      </c>
      <c r="I341" s="43" t="s">
        <v>57</v>
      </c>
      <c r="J341" s="131">
        <v>0</v>
      </c>
      <c r="K341" s="131">
        <v>4</v>
      </c>
      <c r="L341" s="131">
        <v>3</v>
      </c>
      <c r="M341" s="95">
        <v>8</v>
      </c>
      <c r="N341" s="95">
        <v>1</v>
      </c>
      <c r="O341" s="95">
        <v>0</v>
      </c>
      <c r="P341" s="270">
        <v>2</v>
      </c>
      <c r="Q341" s="270">
        <v>2</v>
      </c>
      <c r="R341" s="270">
        <v>2</v>
      </c>
      <c r="S341" s="270">
        <v>0</v>
      </c>
      <c r="T341" s="270">
        <v>0</v>
      </c>
      <c r="U341" s="270">
        <v>0</v>
      </c>
      <c r="V341" s="270">
        <v>0</v>
      </c>
      <c r="W341" s="173">
        <f>J341+K341+L341+M341+N341+P341+R341+T341+V341</f>
        <v>20</v>
      </c>
      <c r="X341" s="43">
        <v>2022</v>
      </c>
      <c r="Y341" s="140">
        <f t="shared" si="119"/>
        <v>2</v>
      </c>
      <c r="Z341" s="141">
        <f t="shared" si="120"/>
        <v>0</v>
      </c>
      <c r="AA341" s="140">
        <f t="shared" si="121"/>
        <v>0</v>
      </c>
      <c r="AB341" s="140">
        <f t="shared" si="122"/>
        <v>0</v>
      </c>
    </row>
    <row r="342" spans="1:28" s="2" customFormat="1" ht="51">
      <c r="A342" s="36" t="s">
        <v>19</v>
      </c>
      <c r="B342" s="37">
        <v>1</v>
      </c>
      <c r="C342" s="37">
        <v>2</v>
      </c>
      <c r="D342" s="37">
        <v>3</v>
      </c>
      <c r="E342" s="37">
        <v>0</v>
      </c>
      <c r="F342" s="37">
        <v>4</v>
      </c>
      <c r="G342" s="37"/>
      <c r="H342" s="40" t="s">
        <v>281</v>
      </c>
      <c r="I342" s="37" t="s">
        <v>21</v>
      </c>
      <c r="J342" s="88">
        <f aca="true" t="shared" si="125" ref="J342:V342">J343+J344</f>
        <v>0</v>
      </c>
      <c r="K342" s="88">
        <f t="shared" si="125"/>
        <v>1864</v>
      </c>
      <c r="L342" s="88">
        <f t="shared" si="125"/>
        <v>2235.5</v>
      </c>
      <c r="M342" s="89">
        <f t="shared" si="125"/>
        <v>3399.7</v>
      </c>
      <c r="N342" s="89">
        <v>566</v>
      </c>
      <c r="O342" s="89">
        <v>0</v>
      </c>
      <c r="P342" s="269">
        <f t="shared" si="125"/>
        <v>0</v>
      </c>
      <c r="Q342" s="269">
        <v>0</v>
      </c>
      <c r="R342" s="269">
        <f t="shared" si="125"/>
        <v>0</v>
      </c>
      <c r="S342" s="269">
        <v>0</v>
      </c>
      <c r="T342" s="269">
        <f t="shared" si="125"/>
        <v>0</v>
      </c>
      <c r="U342" s="269">
        <v>0</v>
      </c>
      <c r="V342" s="269">
        <f t="shared" si="125"/>
        <v>0</v>
      </c>
      <c r="W342" s="88">
        <f>J342+K342+L342+M342+N342+P342+R342+T342+V342</f>
        <v>8065.2</v>
      </c>
      <c r="X342" s="37">
        <v>2020</v>
      </c>
      <c r="Y342" s="140">
        <f t="shared" si="119"/>
        <v>0</v>
      </c>
      <c r="Z342" s="141">
        <f t="shared" si="120"/>
        <v>0</v>
      </c>
      <c r="AA342" s="140">
        <f t="shared" si="121"/>
        <v>0</v>
      </c>
      <c r="AB342" s="140">
        <f t="shared" si="122"/>
        <v>0</v>
      </c>
    </row>
    <row r="343" spans="1:28" s="2" customFormat="1" ht="12.75">
      <c r="A343" s="21" t="s">
        <v>19</v>
      </c>
      <c r="B343" s="22">
        <v>1</v>
      </c>
      <c r="C343" s="22">
        <v>2</v>
      </c>
      <c r="D343" s="22">
        <v>3</v>
      </c>
      <c r="E343" s="22">
        <v>0</v>
      </c>
      <c r="F343" s="22">
        <v>4</v>
      </c>
      <c r="G343" s="22">
        <v>3</v>
      </c>
      <c r="H343" s="26" t="s">
        <v>22</v>
      </c>
      <c r="I343" s="22" t="s">
        <v>21</v>
      </c>
      <c r="J343" s="138">
        <v>0</v>
      </c>
      <c r="K343" s="138">
        <v>1464</v>
      </c>
      <c r="L343" s="138">
        <f>2235.545-299.6</f>
        <v>1935.9</v>
      </c>
      <c r="M343" s="91">
        <v>3086.6</v>
      </c>
      <c r="N343" s="91">
        <v>566</v>
      </c>
      <c r="O343" s="91">
        <v>0</v>
      </c>
      <c r="P343" s="262">
        <v>0</v>
      </c>
      <c r="Q343" s="262">
        <v>0</v>
      </c>
      <c r="R343" s="262">
        <v>0</v>
      </c>
      <c r="S343" s="262">
        <v>0</v>
      </c>
      <c r="T343" s="262">
        <v>0</v>
      </c>
      <c r="U343" s="262">
        <v>0</v>
      </c>
      <c r="V343" s="262">
        <v>0</v>
      </c>
      <c r="W343" s="138">
        <f>J343+K343+L343+M343+N343+P343+R343+T343+V343</f>
        <v>7052.5</v>
      </c>
      <c r="X343" s="22">
        <v>2020</v>
      </c>
      <c r="Y343" s="140">
        <f t="shared" si="119"/>
        <v>0</v>
      </c>
      <c r="Z343" s="141">
        <f t="shared" si="120"/>
        <v>0</v>
      </c>
      <c r="AA343" s="140">
        <f t="shared" si="121"/>
        <v>0</v>
      </c>
      <c r="AB343" s="140">
        <f t="shared" si="122"/>
        <v>0</v>
      </c>
    </row>
    <row r="344" spans="1:28" s="2" customFormat="1" ht="12.75">
      <c r="A344" s="21" t="s">
        <v>19</v>
      </c>
      <c r="B344" s="22">
        <v>1</v>
      </c>
      <c r="C344" s="22">
        <v>2</v>
      </c>
      <c r="D344" s="22">
        <v>3</v>
      </c>
      <c r="E344" s="22">
        <v>0</v>
      </c>
      <c r="F344" s="22">
        <v>4</v>
      </c>
      <c r="G344" s="22">
        <v>2</v>
      </c>
      <c r="H344" s="26" t="s">
        <v>23</v>
      </c>
      <c r="I344" s="22" t="s">
        <v>21</v>
      </c>
      <c r="J344" s="138">
        <v>0</v>
      </c>
      <c r="K344" s="138">
        <v>400</v>
      </c>
      <c r="L344" s="138">
        <v>299.6</v>
      </c>
      <c r="M344" s="91">
        <v>313.1</v>
      </c>
      <c r="N344" s="91">
        <v>0</v>
      </c>
      <c r="O344" s="91">
        <v>0</v>
      </c>
      <c r="P344" s="262">
        <v>0</v>
      </c>
      <c r="Q344" s="262">
        <v>0</v>
      </c>
      <c r="R344" s="262">
        <v>0</v>
      </c>
      <c r="S344" s="262">
        <v>0</v>
      </c>
      <c r="T344" s="262">
        <v>0</v>
      </c>
      <c r="U344" s="262">
        <v>0</v>
      </c>
      <c r="V344" s="262">
        <v>0</v>
      </c>
      <c r="W344" s="138">
        <f>SUM(J344:V344)</f>
        <v>1012.7</v>
      </c>
      <c r="X344" s="22">
        <v>2019</v>
      </c>
      <c r="Y344" s="140">
        <f t="shared" si="119"/>
        <v>0</v>
      </c>
      <c r="Z344" s="141">
        <f t="shared" si="120"/>
        <v>0</v>
      </c>
      <c r="AA344" s="140">
        <f t="shared" si="121"/>
        <v>0</v>
      </c>
      <c r="AB344" s="140">
        <f t="shared" si="122"/>
        <v>0</v>
      </c>
    </row>
    <row r="345" spans="1:28" ht="25.5">
      <c r="A345" s="21" t="s">
        <v>19</v>
      </c>
      <c r="B345" s="22">
        <v>1</v>
      </c>
      <c r="C345" s="22">
        <v>2</v>
      </c>
      <c r="D345" s="22">
        <v>3</v>
      </c>
      <c r="E345" s="22">
        <v>0</v>
      </c>
      <c r="F345" s="22">
        <v>4</v>
      </c>
      <c r="G345" s="43"/>
      <c r="H345" s="46" t="s">
        <v>282</v>
      </c>
      <c r="I345" s="43" t="s">
        <v>57</v>
      </c>
      <c r="J345" s="131">
        <v>0</v>
      </c>
      <c r="K345" s="131">
        <v>7</v>
      </c>
      <c r="L345" s="131">
        <v>8</v>
      </c>
      <c r="M345" s="95">
        <v>2</v>
      </c>
      <c r="N345" s="95">
        <v>6</v>
      </c>
      <c r="O345" s="95">
        <v>0</v>
      </c>
      <c r="P345" s="270">
        <v>0</v>
      </c>
      <c r="Q345" s="270">
        <v>0</v>
      </c>
      <c r="R345" s="270">
        <v>0</v>
      </c>
      <c r="S345" s="270">
        <v>0</v>
      </c>
      <c r="T345" s="270">
        <v>0</v>
      </c>
      <c r="U345" s="270">
        <v>0</v>
      </c>
      <c r="V345" s="270">
        <v>0</v>
      </c>
      <c r="W345" s="131">
        <f aca="true" t="shared" si="126" ref="W345:W356">J345+K345+L345+M345+N345+P345+R345+T345+V345</f>
        <v>23</v>
      </c>
      <c r="X345" s="43">
        <v>2020</v>
      </c>
      <c r="Y345" s="140">
        <f t="shared" si="119"/>
        <v>0</v>
      </c>
      <c r="Z345" s="141">
        <f t="shared" si="120"/>
        <v>0</v>
      </c>
      <c r="AA345" s="140">
        <f t="shared" si="121"/>
        <v>0</v>
      </c>
      <c r="AB345" s="140">
        <f t="shared" si="122"/>
        <v>0</v>
      </c>
    </row>
    <row r="346" spans="1:28" ht="25.5">
      <c r="A346" s="21" t="s">
        <v>19</v>
      </c>
      <c r="B346" s="22">
        <v>1</v>
      </c>
      <c r="C346" s="22">
        <v>2</v>
      </c>
      <c r="D346" s="22">
        <v>3</v>
      </c>
      <c r="E346" s="22">
        <v>0</v>
      </c>
      <c r="F346" s="22">
        <v>4</v>
      </c>
      <c r="G346" s="255"/>
      <c r="H346" s="291" t="s">
        <v>283</v>
      </c>
      <c r="I346" s="255" t="s">
        <v>57</v>
      </c>
      <c r="J346" s="277">
        <v>0</v>
      </c>
      <c r="K346" s="277">
        <v>7</v>
      </c>
      <c r="L346" s="277">
        <v>11</v>
      </c>
      <c r="M346" s="278">
        <v>17</v>
      </c>
      <c r="N346" s="278">
        <v>0</v>
      </c>
      <c r="O346" s="278">
        <v>0</v>
      </c>
      <c r="P346" s="279">
        <v>0</v>
      </c>
      <c r="Q346" s="279">
        <v>0</v>
      </c>
      <c r="R346" s="279">
        <v>0</v>
      </c>
      <c r="S346" s="279">
        <v>0</v>
      </c>
      <c r="T346" s="279">
        <v>0</v>
      </c>
      <c r="U346" s="279">
        <v>0</v>
      </c>
      <c r="V346" s="279">
        <v>0</v>
      </c>
      <c r="W346" s="131">
        <f t="shared" si="126"/>
        <v>35</v>
      </c>
      <c r="X346" s="43">
        <v>2019</v>
      </c>
      <c r="Y346" s="140">
        <f t="shared" si="119"/>
        <v>0</v>
      </c>
      <c r="Z346" s="141">
        <f t="shared" si="120"/>
        <v>0</v>
      </c>
      <c r="AA346" s="140">
        <f t="shared" si="121"/>
        <v>0</v>
      </c>
      <c r="AB346" s="140">
        <f t="shared" si="122"/>
        <v>0</v>
      </c>
    </row>
    <row r="347" spans="1:28" s="2" customFormat="1" ht="51">
      <c r="A347" s="36" t="s">
        <v>19</v>
      </c>
      <c r="B347" s="37">
        <v>1</v>
      </c>
      <c r="C347" s="37">
        <v>2</v>
      </c>
      <c r="D347" s="37">
        <v>3</v>
      </c>
      <c r="E347" s="37">
        <v>0</v>
      </c>
      <c r="F347" s="37">
        <v>5</v>
      </c>
      <c r="G347" s="37"/>
      <c r="H347" s="40" t="s">
        <v>284</v>
      </c>
      <c r="I347" s="37" t="s">
        <v>21</v>
      </c>
      <c r="J347" s="88">
        <f aca="true" t="shared" si="127" ref="J347:V347">J348</f>
        <v>0</v>
      </c>
      <c r="K347" s="88">
        <f t="shared" si="127"/>
        <v>4730.5</v>
      </c>
      <c r="L347" s="88">
        <f t="shared" si="127"/>
        <v>7394.7</v>
      </c>
      <c r="M347" s="89">
        <f t="shared" si="127"/>
        <v>6918.6</v>
      </c>
      <c r="N347" s="89">
        <v>17606</v>
      </c>
      <c r="O347" s="89">
        <v>10145.5</v>
      </c>
      <c r="P347" s="269">
        <f t="shared" si="127"/>
        <v>10960.3</v>
      </c>
      <c r="Q347" s="269">
        <v>0</v>
      </c>
      <c r="R347" s="269">
        <f t="shared" si="127"/>
        <v>0</v>
      </c>
      <c r="S347" s="269">
        <v>0</v>
      </c>
      <c r="T347" s="269">
        <f t="shared" si="127"/>
        <v>0</v>
      </c>
      <c r="U347" s="269">
        <v>0</v>
      </c>
      <c r="V347" s="269">
        <f t="shared" si="127"/>
        <v>0</v>
      </c>
      <c r="W347" s="88">
        <f t="shared" si="126"/>
        <v>47610.1</v>
      </c>
      <c r="X347" s="37">
        <v>2021</v>
      </c>
      <c r="Y347" s="140">
        <f t="shared" si="119"/>
        <v>814.8</v>
      </c>
      <c r="Z347" s="141">
        <f t="shared" si="120"/>
        <v>0</v>
      </c>
      <c r="AA347" s="140">
        <f t="shared" si="121"/>
        <v>0</v>
      </c>
      <c r="AB347" s="140">
        <f t="shared" si="122"/>
        <v>0</v>
      </c>
    </row>
    <row r="348" spans="1:28" s="2" customFormat="1" ht="12.75">
      <c r="A348" s="21" t="s">
        <v>19</v>
      </c>
      <c r="B348" s="22">
        <v>1</v>
      </c>
      <c r="C348" s="22">
        <v>2</v>
      </c>
      <c r="D348" s="22">
        <v>3</v>
      </c>
      <c r="E348" s="22">
        <v>0</v>
      </c>
      <c r="F348" s="22">
        <v>5</v>
      </c>
      <c r="G348" s="22">
        <v>3</v>
      </c>
      <c r="H348" s="26" t="s">
        <v>22</v>
      </c>
      <c r="I348" s="22" t="s">
        <v>21</v>
      </c>
      <c r="J348" s="138">
        <v>0</v>
      </c>
      <c r="K348" s="138">
        <v>4730.5</v>
      </c>
      <c r="L348" s="138">
        <v>7394.7</v>
      </c>
      <c r="M348" s="91">
        <v>6918.6</v>
      </c>
      <c r="N348" s="91">
        <v>17506</v>
      </c>
      <c r="O348" s="196">
        <v>10145.5</v>
      </c>
      <c r="P348" s="280">
        <v>10960.3</v>
      </c>
      <c r="Q348" s="262">
        <v>0</v>
      </c>
      <c r="R348" s="262">
        <v>0</v>
      </c>
      <c r="S348" s="262">
        <v>0</v>
      </c>
      <c r="T348" s="262">
        <v>0</v>
      </c>
      <c r="U348" s="262">
        <v>0</v>
      </c>
      <c r="V348" s="262">
        <v>0</v>
      </c>
      <c r="W348" s="138">
        <f t="shared" si="126"/>
        <v>47510.1</v>
      </c>
      <c r="X348" s="22">
        <v>2021</v>
      </c>
      <c r="Y348" s="140">
        <f t="shared" si="119"/>
        <v>814.8</v>
      </c>
      <c r="Z348" s="141">
        <f t="shared" si="120"/>
        <v>0</v>
      </c>
      <c r="AA348" s="140">
        <f t="shared" si="121"/>
        <v>0</v>
      </c>
      <c r="AB348" s="140">
        <f t="shared" si="122"/>
        <v>0</v>
      </c>
    </row>
    <row r="349" spans="1:28" s="2" customFormat="1" ht="12.75">
      <c r="A349" s="21"/>
      <c r="B349" s="22"/>
      <c r="C349" s="22"/>
      <c r="D349" s="22"/>
      <c r="E349" s="22"/>
      <c r="F349" s="22"/>
      <c r="G349" s="22">
        <v>2</v>
      </c>
      <c r="H349" s="26" t="s">
        <v>23</v>
      </c>
      <c r="I349" s="22" t="s">
        <v>21</v>
      </c>
      <c r="J349" s="138"/>
      <c r="K349" s="138"/>
      <c r="L349" s="138"/>
      <c r="M349" s="91"/>
      <c r="N349" s="91">
        <v>100</v>
      </c>
      <c r="O349" s="196"/>
      <c r="P349" s="280"/>
      <c r="Q349" s="262"/>
      <c r="R349" s="262"/>
      <c r="S349" s="262"/>
      <c r="T349" s="262"/>
      <c r="U349" s="262"/>
      <c r="V349" s="262"/>
      <c r="W349" s="138">
        <f t="shared" si="126"/>
        <v>100</v>
      </c>
      <c r="X349" s="22">
        <v>2020</v>
      </c>
      <c r="Y349" s="140">
        <f t="shared" si="119"/>
        <v>0</v>
      </c>
      <c r="Z349" s="141">
        <f t="shared" si="120"/>
        <v>0</v>
      </c>
      <c r="AA349" s="140">
        <f t="shared" si="121"/>
        <v>0</v>
      </c>
      <c r="AB349" s="140">
        <f t="shared" si="122"/>
        <v>0</v>
      </c>
    </row>
    <row r="350" spans="1:28" ht="25.5">
      <c r="A350" s="21" t="s">
        <v>19</v>
      </c>
      <c r="B350" s="22">
        <v>1</v>
      </c>
      <c r="C350" s="22">
        <v>2</v>
      </c>
      <c r="D350" s="22">
        <v>3</v>
      </c>
      <c r="E350" s="22">
        <v>0</v>
      </c>
      <c r="F350" s="22">
        <v>5</v>
      </c>
      <c r="G350" s="43"/>
      <c r="H350" s="46" t="s">
        <v>285</v>
      </c>
      <c r="I350" s="43" t="s">
        <v>57</v>
      </c>
      <c r="J350" s="131">
        <v>0</v>
      </c>
      <c r="K350" s="131">
        <v>0</v>
      </c>
      <c r="L350" s="131">
        <v>0</v>
      </c>
      <c r="M350" s="95">
        <v>5</v>
      </c>
      <c r="N350" s="95">
        <v>0</v>
      </c>
      <c r="O350" s="95">
        <v>0</v>
      </c>
      <c r="P350" s="270">
        <v>1</v>
      </c>
      <c r="Q350" s="270">
        <v>0</v>
      </c>
      <c r="R350" s="270">
        <v>0</v>
      </c>
      <c r="S350" s="270">
        <v>0</v>
      </c>
      <c r="T350" s="270">
        <v>0</v>
      </c>
      <c r="U350" s="270">
        <v>0</v>
      </c>
      <c r="V350" s="270">
        <v>0</v>
      </c>
      <c r="W350" s="131">
        <f t="shared" si="126"/>
        <v>6</v>
      </c>
      <c r="X350" s="303">
        <v>2021</v>
      </c>
      <c r="Y350" s="140">
        <f t="shared" si="119"/>
        <v>1</v>
      </c>
      <c r="Z350" s="141">
        <f t="shared" si="120"/>
        <v>0</v>
      </c>
      <c r="AA350" s="140">
        <f t="shared" si="121"/>
        <v>0</v>
      </c>
      <c r="AB350" s="140">
        <f t="shared" si="122"/>
        <v>0</v>
      </c>
    </row>
    <row r="351" spans="1:28" ht="51">
      <c r="A351" s="21" t="s">
        <v>19</v>
      </c>
      <c r="B351" s="22">
        <v>1</v>
      </c>
      <c r="C351" s="22">
        <v>2</v>
      </c>
      <c r="D351" s="22">
        <v>3</v>
      </c>
      <c r="E351" s="22">
        <v>0</v>
      </c>
      <c r="F351" s="22">
        <v>5</v>
      </c>
      <c r="G351" s="43"/>
      <c r="H351" s="46" t="s">
        <v>286</v>
      </c>
      <c r="I351" s="43" t="s">
        <v>57</v>
      </c>
      <c r="J351" s="131">
        <v>0</v>
      </c>
      <c r="K351" s="131">
        <v>10</v>
      </c>
      <c r="L351" s="131">
        <v>10</v>
      </c>
      <c r="M351" s="95">
        <v>36</v>
      </c>
      <c r="N351" s="95">
        <v>0</v>
      </c>
      <c r="O351" s="95">
        <v>0</v>
      </c>
      <c r="P351" s="270">
        <v>0</v>
      </c>
      <c r="Q351" s="270">
        <v>0</v>
      </c>
      <c r="R351" s="270">
        <v>0</v>
      </c>
      <c r="S351" s="270">
        <v>0</v>
      </c>
      <c r="T351" s="270">
        <v>0</v>
      </c>
      <c r="U351" s="270">
        <v>0</v>
      </c>
      <c r="V351" s="270">
        <v>0</v>
      </c>
      <c r="W351" s="131">
        <f t="shared" si="126"/>
        <v>56</v>
      </c>
      <c r="X351" s="43">
        <v>2019</v>
      </c>
      <c r="Y351" s="140">
        <f t="shared" si="119"/>
        <v>0</v>
      </c>
      <c r="Z351" s="141">
        <f t="shared" si="120"/>
        <v>0</v>
      </c>
      <c r="AA351" s="140">
        <f t="shared" si="121"/>
        <v>0</v>
      </c>
      <c r="AB351" s="140">
        <f t="shared" si="122"/>
        <v>0</v>
      </c>
    </row>
    <row r="352" spans="1:28" ht="51">
      <c r="A352" s="21" t="s">
        <v>19</v>
      </c>
      <c r="B352" s="22">
        <v>1</v>
      </c>
      <c r="C352" s="22">
        <v>2</v>
      </c>
      <c r="D352" s="22">
        <v>3</v>
      </c>
      <c r="E352" s="22">
        <v>0</v>
      </c>
      <c r="F352" s="22">
        <v>5</v>
      </c>
      <c r="G352" s="43"/>
      <c r="H352" s="46" t="s">
        <v>287</v>
      </c>
      <c r="I352" s="43" t="s">
        <v>57</v>
      </c>
      <c r="J352" s="131">
        <v>0</v>
      </c>
      <c r="K352" s="131">
        <v>12</v>
      </c>
      <c r="L352" s="131">
        <v>16</v>
      </c>
      <c r="M352" s="95">
        <v>68</v>
      </c>
      <c r="N352" s="95">
        <v>57</v>
      </c>
      <c r="O352" s="190">
        <v>43</v>
      </c>
      <c r="P352" s="281">
        <v>53</v>
      </c>
      <c r="Q352" s="270">
        <v>0</v>
      </c>
      <c r="R352" s="270">
        <v>0</v>
      </c>
      <c r="S352" s="270">
        <v>0</v>
      </c>
      <c r="T352" s="270">
        <v>0</v>
      </c>
      <c r="U352" s="270">
        <v>0</v>
      </c>
      <c r="V352" s="270">
        <v>0</v>
      </c>
      <c r="W352" s="131">
        <f t="shared" si="126"/>
        <v>206</v>
      </c>
      <c r="X352" s="43">
        <v>2021</v>
      </c>
      <c r="Y352" s="140">
        <f t="shared" si="119"/>
        <v>10</v>
      </c>
      <c r="Z352" s="141">
        <f t="shared" si="120"/>
        <v>0</v>
      </c>
      <c r="AA352" s="140">
        <f t="shared" si="121"/>
        <v>0</v>
      </c>
      <c r="AB352" s="140">
        <f t="shared" si="122"/>
        <v>0</v>
      </c>
    </row>
    <row r="353" spans="1:28" ht="63.75">
      <c r="A353" s="21" t="s">
        <v>19</v>
      </c>
      <c r="B353" s="22">
        <v>1</v>
      </c>
      <c r="C353" s="22">
        <v>2</v>
      </c>
      <c r="D353" s="22">
        <v>3</v>
      </c>
      <c r="E353" s="22">
        <v>0</v>
      </c>
      <c r="F353" s="22">
        <v>5</v>
      </c>
      <c r="G353" s="43"/>
      <c r="H353" s="46" t="s">
        <v>288</v>
      </c>
      <c r="I353" s="43" t="s">
        <v>57</v>
      </c>
      <c r="J353" s="131">
        <v>0</v>
      </c>
      <c r="K353" s="131">
        <v>0</v>
      </c>
      <c r="L353" s="131">
        <v>1</v>
      </c>
      <c r="M353" s="95">
        <v>5</v>
      </c>
      <c r="N353" s="95">
        <v>1</v>
      </c>
      <c r="O353" s="95">
        <v>1</v>
      </c>
      <c r="P353" s="270">
        <v>12</v>
      </c>
      <c r="Q353" s="270">
        <v>0</v>
      </c>
      <c r="R353" s="270">
        <v>0</v>
      </c>
      <c r="S353" s="270">
        <v>0</v>
      </c>
      <c r="T353" s="270">
        <v>0</v>
      </c>
      <c r="U353" s="270">
        <v>0</v>
      </c>
      <c r="V353" s="270">
        <v>0</v>
      </c>
      <c r="W353" s="131">
        <f t="shared" si="126"/>
        <v>19</v>
      </c>
      <c r="X353" s="303">
        <v>2021</v>
      </c>
      <c r="Y353" s="140">
        <f t="shared" si="119"/>
        <v>11</v>
      </c>
      <c r="Z353" s="141">
        <f t="shared" si="120"/>
        <v>0</v>
      </c>
      <c r="AA353" s="140">
        <f t="shared" si="121"/>
        <v>0</v>
      </c>
      <c r="AB353" s="140">
        <f t="shared" si="122"/>
        <v>0</v>
      </c>
    </row>
    <row r="354" spans="1:28" ht="25.5">
      <c r="A354" s="21" t="s">
        <v>19</v>
      </c>
      <c r="B354" s="22">
        <v>1</v>
      </c>
      <c r="C354" s="22">
        <v>2</v>
      </c>
      <c r="D354" s="22">
        <v>3</v>
      </c>
      <c r="E354" s="22">
        <v>0</v>
      </c>
      <c r="F354" s="22">
        <v>5</v>
      </c>
      <c r="G354" s="43"/>
      <c r="H354" s="46" t="s">
        <v>289</v>
      </c>
      <c r="I354" s="43" t="s">
        <v>57</v>
      </c>
      <c r="J354" s="131">
        <v>0</v>
      </c>
      <c r="K354" s="131">
        <v>8</v>
      </c>
      <c r="L354" s="131">
        <v>13</v>
      </c>
      <c r="M354" s="95">
        <v>19</v>
      </c>
      <c r="N354" s="95">
        <v>5</v>
      </c>
      <c r="O354" s="95">
        <v>0</v>
      </c>
      <c r="P354" s="270">
        <v>3</v>
      </c>
      <c r="Q354" s="270">
        <v>0</v>
      </c>
      <c r="R354" s="270">
        <v>0</v>
      </c>
      <c r="S354" s="270">
        <v>0</v>
      </c>
      <c r="T354" s="270">
        <v>0</v>
      </c>
      <c r="U354" s="270">
        <v>0</v>
      </c>
      <c r="V354" s="270">
        <v>0</v>
      </c>
      <c r="W354" s="131">
        <f t="shared" si="126"/>
        <v>48</v>
      </c>
      <c r="X354" s="303">
        <v>2021</v>
      </c>
      <c r="Y354" s="140">
        <f t="shared" si="119"/>
        <v>3</v>
      </c>
      <c r="Z354" s="141">
        <f t="shared" si="120"/>
        <v>0</v>
      </c>
      <c r="AA354" s="140">
        <f t="shared" si="121"/>
        <v>0</v>
      </c>
      <c r="AB354" s="140">
        <f t="shared" si="122"/>
        <v>0</v>
      </c>
    </row>
    <row r="355" spans="1:28" s="2" customFormat="1" ht="51">
      <c r="A355" s="36" t="s">
        <v>19</v>
      </c>
      <c r="B355" s="37">
        <v>1</v>
      </c>
      <c r="C355" s="37">
        <v>2</v>
      </c>
      <c r="D355" s="37">
        <v>3</v>
      </c>
      <c r="E355" s="37">
        <v>0</v>
      </c>
      <c r="F355" s="37">
        <v>6</v>
      </c>
      <c r="G355" s="37"/>
      <c r="H355" s="40" t="s">
        <v>290</v>
      </c>
      <c r="I355" s="37" t="s">
        <v>21</v>
      </c>
      <c r="J355" s="88">
        <f aca="true" t="shared" si="128" ref="J355:V355">J356+J357</f>
        <v>254.6</v>
      </c>
      <c r="K355" s="88">
        <f t="shared" si="128"/>
        <v>13185.2</v>
      </c>
      <c r="L355" s="88">
        <f t="shared" si="128"/>
        <v>7867.3</v>
      </c>
      <c r="M355" s="89">
        <f t="shared" si="128"/>
        <v>14411.8</v>
      </c>
      <c r="N355" s="89">
        <v>7458.5</v>
      </c>
      <c r="O355" s="89">
        <v>13439</v>
      </c>
      <c r="P355" s="269">
        <f t="shared" si="128"/>
        <v>15433.1</v>
      </c>
      <c r="Q355" s="269">
        <v>12140.5</v>
      </c>
      <c r="R355" s="269">
        <f t="shared" si="128"/>
        <v>12140.5</v>
      </c>
      <c r="S355" s="269">
        <v>12960</v>
      </c>
      <c r="T355" s="269">
        <f t="shared" si="128"/>
        <v>12960</v>
      </c>
      <c r="U355" s="269">
        <v>10260</v>
      </c>
      <c r="V355" s="269">
        <f t="shared" si="128"/>
        <v>10260</v>
      </c>
      <c r="W355" s="88">
        <f t="shared" si="126"/>
        <v>93971</v>
      </c>
      <c r="X355" s="37">
        <v>2024</v>
      </c>
      <c r="Y355" s="140">
        <f t="shared" si="119"/>
        <v>1994.1</v>
      </c>
      <c r="Z355" s="141">
        <f t="shared" si="120"/>
        <v>0</v>
      </c>
      <c r="AA355" s="140">
        <f t="shared" si="121"/>
        <v>0</v>
      </c>
      <c r="AB355" s="140">
        <f t="shared" si="122"/>
        <v>0</v>
      </c>
    </row>
    <row r="356" spans="1:28" s="2" customFormat="1" ht="12.75">
      <c r="A356" s="21" t="s">
        <v>19</v>
      </c>
      <c r="B356" s="22">
        <v>1</v>
      </c>
      <c r="C356" s="22">
        <v>2</v>
      </c>
      <c r="D356" s="22">
        <v>3</v>
      </c>
      <c r="E356" s="22">
        <v>0</v>
      </c>
      <c r="F356" s="22">
        <v>6</v>
      </c>
      <c r="G356" s="22">
        <v>3</v>
      </c>
      <c r="H356" s="26" t="s">
        <v>22</v>
      </c>
      <c r="I356" s="22" t="s">
        <v>21</v>
      </c>
      <c r="J356" s="138">
        <f>200+54.6</f>
        <v>254.6</v>
      </c>
      <c r="K356" s="138">
        <v>13095.1</v>
      </c>
      <c r="L356" s="138">
        <v>7867.3</v>
      </c>
      <c r="M356" s="91">
        <v>14411.8</v>
      </c>
      <c r="N356" s="91">
        <v>7358.5</v>
      </c>
      <c r="O356" s="196">
        <v>13439</v>
      </c>
      <c r="P356" s="280">
        <v>15433.1</v>
      </c>
      <c r="Q356" s="262">
        <v>12140.5</v>
      </c>
      <c r="R356" s="262">
        <v>12140.5</v>
      </c>
      <c r="S356" s="262">
        <v>12960</v>
      </c>
      <c r="T356" s="262">
        <v>12960</v>
      </c>
      <c r="U356" s="262">
        <v>10260</v>
      </c>
      <c r="V356" s="262">
        <v>10260</v>
      </c>
      <c r="W356" s="138">
        <f t="shared" si="126"/>
        <v>93780.9</v>
      </c>
      <c r="X356" s="22">
        <v>2024</v>
      </c>
      <c r="Y356" s="140">
        <f aca="true" t="shared" si="129" ref="Y356:Y378">P356-O356</f>
        <v>1994.1</v>
      </c>
      <c r="Z356" s="141">
        <f aca="true" t="shared" si="130" ref="Z356:Z378">R356-Q356</f>
        <v>0</v>
      </c>
      <c r="AA356" s="140">
        <f aca="true" t="shared" si="131" ref="AA356:AA378">T356-S356</f>
        <v>0</v>
      </c>
      <c r="AB356" s="140">
        <f aca="true" t="shared" si="132" ref="AB356:AB378">V356-U356</f>
        <v>0</v>
      </c>
    </row>
    <row r="357" spans="1:28" s="2" customFormat="1" ht="12.75">
      <c r="A357" s="21" t="s">
        <v>19</v>
      </c>
      <c r="B357" s="22">
        <v>1</v>
      </c>
      <c r="C357" s="22">
        <v>2</v>
      </c>
      <c r="D357" s="22">
        <v>3</v>
      </c>
      <c r="E357" s="22">
        <v>0</v>
      </c>
      <c r="F357" s="22">
        <v>6</v>
      </c>
      <c r="G357" s="22">
        <v>2</v>
      </c>
      <c r="H357" s="26" t="s">
        <v>23</v>
      </c>
      <c r="I357" s="22" t="s">
        <v>21</v>
      </c>
      <c r="J357" s="138">
        <v>0</v>
      </c>
      <c r="K357" s="138">
        <v>90.1</v>
      </c>
      <c r="L357" s="138">
        <v>0</v>
      </c>
      <c r="M357" s="91">
        <v>0</v>
      </c>
      <c r="N357" s="91">
        <v>100</v>
      </c>
      <c r="O357" s="196">
        <v>0</v>
      </c>
      <c r="P357" s="280">
        <v>0</v>
      </c>
      <c r="Q357" s="262">
        <v>0</v>
      </c>
      <c r="R357" s="262">
        <v>0</v>
      </c>
      <c r="S357" s="262">
        <v>0</v>
      </c>
      <c r="T357" s="262">
        <v>0</v>
      </c>
      <c r="U357" s="262">
        <v>0</v>
      </c>
      <c r="V357" s="262">
        <v>0</v>
      </c>
      <c r="W357" s="138">
        <f>SUM(J357:V357)</f>
        <v>190.1</v>
      </c>
      <c r="X357" s="22">
        <v>2020</v>
      </c>
      <c r="Y357" s="140">
        <f t="shared" si="129"/>
        <v>0</v>
      </c>
      <c r="Z357" s="141">
        <f t="shared" si="130"/>
        <v>0</v>
      </c>
      <c r="AA357" s="140">
        <f t="shared" si="131"/>
        <v>0</v>
      </c>
      <c r="AB357" s="140">
        <f t="shared" si="132"/>
        <v>0</v>
      </c>
    </row>
    <row r="358" spans="1:28" ht="51">
      <c r="A358" s="21" t="s">
        <v>19</v>
      </c>
      <c r="B358" s="22">
        <v>1</v>
      </c>
      <c r="C358" s="22">
        <v>2</v>
      </c>
      <c r="D358" s="22">
        <v>3</v>
      </c>
      <c r="E358" s="22">
        <v>0</v>
      </c>
      <c r="F358" s="22">
        <v>6</v>
      </c>
      <c r="G358" s="43"/>
      <c r="H358" s="46" t="s">
        <v>291</v>
      </c>
      <c r="I358" s="43" t="s">
        <v>57</v>
      </c>
      <c r="J358" s="131">
        <v>0</v>
      </c>
      <c r="K358" s="131">
        <v>5</v>
      </c>
      <c r="L358" s="173">
        <v>2</v>
      </c>
      <c r="M358" s="95">
        <v>1</v>
      </c>
      <c r="N358" s="95">
        <v>3</v>
      </c>
      <c r="O358" s="95">
        <v>0</v>
      </c>
      <c r="P358" s="270">
        <v>1</v>
      </c>
      <c r="Q358" s="270">
        <v>0</v>
      </c>
      <c r="R358" s="270">
        <v>0</v>
      </c>
      <c r="S358" s="270">
        <v>0</v>
      </c>
      <c r="T358" s="270">
        <v>0</v>
      </c>
      <c r="U358" s="270">
        <v>0</v>
      </c>
      <c r="V358" s="270">
        <v>0</v>
      </c>
      <c r="W358" s="131">
        <f aca="true" t="shared" si="133" ref="W358:W376">J358+K358+L358+M358+N358+P358+R358+T358+V358</f>
        <v>12</v>
      </c>
      <c r="X358" s="303">
        <v>2021</v>
      </c>
      <c r="Y358" s="140">
        <f t="shared" si="129"/>
        <v>1</v>
      </c>
      <c r="Z358" s="141">
        <f t="shared" si="130"/>
        <v>0</v>
      </c>
      <c r="AA358" s="140">
        <f t="shared" si="131"/>
        <v>0</v>
      </c>
      <c r="AB358" s="140">
        <f t="shared" si="132"/>
        <v>0</v>
      </c>
    </row>
    <row r="359" spans="1:28" ht="38.25">
      <c r="A359" s="21" t="s">
        <v>19</v>
      </c>
      <c r="B359" s="22">
        <v>1</v>
      </c>
      <c r="C359" s="22">
        <v>2</v>
      </c>
      <c r="D359" s="22">
        <v>3</v>
      </c>
      <c r="E359" s="22">
        <v>0</v>
      </c>
      <c r="F359" s="22">
        <v>6</v>
      </c>
      <c r="G359" s="43"/>
      <c r="H359" s="46" t="s">
        <v>292</v>
      </c>
      <c r="I359" s="43" t="s">
        <v>57</v>
      </c>
      <c r="J359" s="173">
        <v>2</v>
      </c>
      <c r="K359" s="173">
        <v>9</v>
      </c>
      <c r="L359" s="173">
        <v>13</v>
      </c>
      <c r="M359" s="107">
        <v>12</v>
      </c>
      <c r="N359" s="107">
        <v>3</v>
      </c>
      <c r="O359" s="187">
        <v>2</v>
      </c>
      <c r="P359" s="293">
        <v>2</v>
      </c>
      <c r="Q359" s="276">
        <v>0</v>
      </c>
      <c r="R359" s="276">
        <v>0</v>
      </c>
      <c r="S359" s="276">
        <v>0</v>
      </c>
      <c r="T359" s="276">
        <v>0</v>
      </c>
      <c r="U359" s="276">
        <v>0</v>
      </c>
      <c r="V359" s="276">
        <v>0</v>
      </c>
      <c r="W359" s="131">
        <f t="shared" si="133"/>
        <v>41</v>
      </c>
      <c r="X359" s="43">
        <v>2021</v>
      </c>
      <c r="Y359" s="140">
        <f t="shared" si="129"/>
        <v>0</v>
      </c>
      <c r="Z359" s="141">
        <f t="shared" si="130"/>
        <v>0</v>
      </c>
      <c r="AA359" s="140">
        <f t="shared" si="131"/>
        <v>0</v>
      </c>
      <c r="AB359" s="140">
        <f t="shared" si="132"/>
        <v>0</v>
      </c>
    </row>
    <row r="360" spans="1:28" ht="38.25">
      <c r="A360" s="21" t="s">
        <v>19</v>
      </c>
      <c r="B360" s="22">
        <v>1</v>
      </c>
      <c r="C360" s="22">
        <v>2</v>
      </c>
      <c r="D360" s="22">
        <v>3</v>
      </c>
      <c r="E360" s="22">
        <v>0</v>
      </c>
      <c r="F360" s="22">
        <v>6</v>
      </c>
      <c r="G360" s="43"/>
      <c r="H360" s="46" t="s">
        <v>293</v>
      </c>
      <c r="I360" s="43" t="s">
        <v>57</v>
      </c>
      <c r="J360" s="131">
        <v>0</v>
      </c>
      <c r="K360" s="131">
        <v>2</v>
      </c>
      <c r="L360" s="131">
        <v>1</v>
      </c>
      <c r="M360" s="95">
        <v>2</v>
      </c>
      <c r="N360" s="95">
        <v>0</v>
      </c>
      <c r="O360" s="190">
        <v>0</v>
      </c>
      <c r="P360" s="281">
        <v>2</v>
      </c>
      <c r="Q360" s="270">
        <v>5</v>
      </c>
      <c r="R360" s="270">
        <v>5</v>
      </c>
      <c r="S360" s="270">
        <v>0</v>
      </c>
      <c r="T360" s="270">
        <v>0</v>
      </c>
      <c r="U360" s="270">
        <v>0</v>
      </c>
      <c r="V360" s="270">
        <v>0</v>
      </c>
      <c r="W360" s="131">
        <f t="shared" si="133"/>
        <v>12</v>
      </c>
      <c r="X360" s="43">
        <v>2022</v>
      </c>
      <c r="Y360" s="140">
        <f t="shared" si="129"/>
        <v>2</v>
      </c>
      <c r="Z360" s="141">
        <f t="shared" si="130"/>
        <v>0</v>
      </c>
      <c r="AA360" s="140">
        <f t="shared" si="131"/>
        <v>0</v>
      </c>
      <c r="AB360" s="140">
        <f t="shared" si="132"/>
        <v>0</v>
      </c>
    </row>
    <row r="361" spans="1:28" ht="38.25">
      <c r="A361" s="21" t="s">
        <v>19</v>
      </c>
      <c r="B361" s="22">
        <v>1</v>
      </c>
      <c r="C361" s="22">
        <v>2</v>
      </c>
      <c r="D361" s="22">
        <v>3</v>
      </c>
      <c r="E361" s="22">
        <v>0</v>
      </c>
      <c r="F361" s="22">
        <v>6</v>
      </c>
      <c r="G361" s="43"/>
      <c r="H361" s="46" t="s">
        <v>294</v>
      </c>
      <c r="I361" s="43" t="s">
        <v>57</v>
      </c>
      <c r="J361" s="131">
        <v>0</v>
      </c>
      <c r="K361" s="131">
        <v>44</v>
      </c>
      <c r="L361" s="131">
        <v>17</v>
      </c>
      <c r="M361" s="95">
        <v>9</v>
      </c>
      <c r="N361" s="95">
        <v>2</v>
      </c>
      <c r="O361" s="190">
        <v>2</v>
      </c>
      <c r="P361" s="281">
        <v>4</v>
      </c>
      <c r="Q361" s="270">
        <v>6</v>
      </c>
      <c r="R361" s="270">
        <v>6</v>
      </c>
      <c r="S361" s="270">
        <v>0</v>
      </c>
      <c r="T361" s="270">
        <v>0</v>
      </c>
      <c r="U361" s="270">
        <v>0</v>
      </c>
      <c r="V361" s="270">
        <v>0</v>
      </c>
      <c r="W361" s="131">
        <f t="shared" si="133"/>
        <v>82</v>
      </c>
      <c r="X361" s="43">
        <v>2022</v>
      </c>
      <c r="Y361" s="140">
        <f t="shared" si="129"/>
        <v>2</v>
      </c>
      <c r="Z361" s="141">
        <f t="shared" si="130"/>
        <v>0</v>
      </c>
      <c r="AA361" s="140">
        <f t="shared" si="131"/>
        <v>0</v>
      </c>
      <c r="AB361" s="140">
        <f t="shared" si="132"/>
        <v>0</v>
      </c>
    </row>
    <row r="362" spans="1:28" ht="38.25">
      <c r="A362" s="21" t="s">
        <v>19</v>
      </c>
      <c r="B362" s="22">
        <v>1</v>
      </c>
      <c r="C362" s="22">
        <v>2</v>
      </c>
      <c r="D362" s="22">
        <v>3</v>
      </c>
      <c r="E362" s="22">
        <v>0</v>
      </c>
      <c r="F362" s="22">
        <v>6</v>
      </c>
      <c r="G362" s="43"/>
      <c r="H362" s="46" t="s">
        <v>295</v>
      </c>
      <c r="I362" s="43" t="s">
        <v>57</v>
      </c>
      <c r="J362" s="131">
        <v>0</v>
      </c>
      <c r="K362" s="131">
        <v>4</v>
      </c>
      <c r="L362" s="131">
        <v>7</v>
      </c>
      <c r="M362" s="95">
        <v>10</v>
      </c>
      <c r="N362" s="95">
        <v>4</v>
      </c>
      <c r="O362" s="190">
        <v>5</v>
      </c>
      <c r="P362" s="281">
        <v>8</v>
      </c>
      <c r="Q362" s="270">
        <v>2</v>
      </c>
      <c r="R362" s="270">
        <v>2</v>
      </c>
      <c r="S362" s="270">
        <v>0</v>
      </c>
      <c r="T362" s="270">
        <v>0</v>
      </c>
      <c r="U362" s="270">
        <v>0</v>
      </c>
      <c r="V362" s="270">
        <v>0</v>
      </c>
      <c r="W362" s="131">
        <f t="shared" si="133"/>
        <v>35</v>
      </c>
      <c r="X362" s="43">
        <v>2022</v>
      </c>
      <c r="Y362" s="140">
        <f t="shared" si="129"/>
        <v>3</v>
      </c>
      <c r="Z362" s="141">
        <f t="shared" si="130"/>
        <v>0</v>
      </c>
      <c r="AA362" s="140">
        <f t="shared" si="131"/>
        <v>0</v>
      </c>
      <c r="AB362" s="140">
        <f t="shared" si="132"/>
        <v>0</v>
      </c>
    </row>
    <row r="363" spans="1:28" ht="38.25">
      <c r="A363" s="21" t="s">
        <v>19</v>
      </c>
      <c r="B363" s="22">
        <v>1</v>
      </c>
      <c r="C363" s="22">
        <v>2</v>
      </c>
      <c r="D363" s="22">
        <v>3</v>
      </c>
      <c r="E363" s="22">
        <v>0</v>
      </c>
      <c r="F363" s="22">
        <v>6</v>
      </c>
      <c r="G363" s="43"/>
      <c r="H363" s="46" t="s">
        <v>296</v>
      </c>
      <c r="I363" s="43" t="s">
        <v>57</v>
      </c>
      <c r="J363" s="131">
        <v>0</v>
      </c>
      <c r="K363" s="131">
        <v>1</v>
      </c>
      <c r="L363" s="131">
        <v>1</v>
      </c>
      <c r="M363" s="95">
        <v>3</v>
      </c>
      <c r="N363" s="95">
        <v>0</v>
      </c>
      <c r="O363" s="190">
        <v>0</v>
      </c>
      <c r="P363" s="281">
        <v>1</v>
      </c>
      <c r="Q363" s="270">
        <v>0</v>
      </c>
      <c r="R363" s="270">
        <v>0</v>
      </c>
      <c r="S363" s="270">
        <v>0</v>
      </c>
      <c r="T363" s="270">
        <v>0</v>
      </c>
      <c r="U363" s="270">
        <v>0</v>
      </c>
      <c r="V363" s="270">
        <v>0</v>
      </c>
      <c r="W363" s="131">
        <f t="shared" si="133"/>
        <v>6</v>
      </c>
      <c r="X363" s="303">
        <v>2021</v>
      </c>
      <c r="Y363" s="140">
        <f t="shared" si="129"/>
        <v>1</v>
      </c>
      <c r="Z363" s="141">
        <f t="shared" si="130"/>
        <v>0</v>
      </c>
      <c r="AA363" s="140">
        <f t="shared" si="131"/>
        <v>0</v>
      </c>
      <c r="AB363" s="140">
        <f t="shared" si="132"/>
        <v>0</v>
      </c>
    </row>
    <row r="364" spans="1:28" ht="38.25">
      <c r="A364" s="21" t="s">
        <v>19</v>
      </c>
      <c r="B364" s="22">
        <v>1</v>
      </c>
      <c r="C364" s="22">
        <v>2</v>
      </c>
      <c r="D364" s="22">
        <v>3</v>
      </c>
      <c r="E364" s="22">
        <v>0</v>
      </c>
      <c r="F364" s="22">
        <v>6</v>
      </c>
      <c r="G364" s="43"/>
      <c r="H364" s="46" t="s">
        <v>297</v>
      </c>
      <c r="I364" s="43" t="s">
        <v>57</v>
      </c>
      <c r="J364" s="131">
        <v>0</v>
      </c>
      <c r="K364" s="131">
        <v>0</v>
      </c>
      <c r="L364" s="131">
        <v>6</v>
      </c>
      <c r="M364" s="95">
        <v>0</v>
      </c>
      <c r="N364" s="95">
        <v>0</v>
      </c>
      <c r="O364" s="95">
        <v>2</v>
      </c>
      <c r="P364" s="270">
        <v>2</v>
      </c>
      <c r="Q364" s="270">
        <v>0</v>
      </c>
      <c r="R364" s="270">
        <v>0</v>
      </c>
      <c r="S364" s="270">
        <v>0</v>
      </c>
      <c r="T364" s="270">
        <v>0</v>
      </c>
      <c r="U364" s="270">
        <v>0</v>
      </c>
      <c r="V364" s="270">
        <v>0</v>
      </c>
      <c r="W364" s="131">
        <f t="shared" si="133"/>
        <v>8</v>
      </c>
      <c r="X364" s="303">
        <v>2021</v>
      </c>
      <c r="Y364" s="140">
        <f t="shared" si="129"/>
        <v>0</v>
      </c>
      <c r="Z364" s="141">
        <f t="shared" si="130"/>
        <v>0</v>
      </c>
      <c r="AA364" s="140">
        <f t="shared" si="131"/>
        <v>0</v>
      </c>
      <c r="AB364" s="140">
        <f t="shared" si="132"/>
        <v>0</v>
      </c>
    </row>
    <row r="365" spans="1:28" ht="38.25">
      <c r="A365" s="21" t="s">
        <v>19</v>
      </c>
      <c r="B365" s="22">
        <v>1</v>
      </c>
      <c r="C365" s="22">
        <v>2</v>
      </c>
      <c r="D365" s="22">
        <v>3</v>
      </c>
      <c r="E365" s="22">
        <v>0</v>
      </c>
      <c r="F365" s="22">
        <v>6</v>
      </c>
      <c r="G365" s="43"/>
      <c r="H365" s="46" t="s">
        <v>298</v>
      </c>
      <c r="I365" s="43" t="s">
        <v>57</v>
      </c>
      <c r="J365" s="131">
        <v>0</v>
      </c>
      <c r="K365" s="131">
        <v>0</v>
      </c>
      <c r="L365" s="131">
        <v>0</v>
      </c>
      <c r="M365" s="95">
        <v>0</v>
      </c>
      <c r="N365" s="95">
        <v>1</v>
      </c>
      <c r="O365" s="95">
        <v>11</v>
      </c>
      <c r="P365" s="270">
        <v>11</v>
      </c>
      <c r="Q365" s="270">
        <v>0</v>
      </c>
      <c r="R365" s="270">
        <v>0</v>
      </c>
      <c r="S365" s="270">
        <v>0</v>
      </c>
      <c r="T365" s="270">
        <v>0</v>
      </c>
      <c r="U365" s="270">
        <v>0</v>
      </c>
      <c r="V365" s="270">
        <v>0</v>
      </c>
      <c r="W365" s="131">
        <f t="shared" si="133"/>
        <v>12</v>
      </c>
      <c r="X365" s="43">
        <v>2021</v>
      </c>
      <c r="Y365" s="140">
        <f t="shared" si="129"/>
        <v>0</v>
      </c>
      <c r="Z365" s="141">
        <f t="shared" si="130"/>
        <v>0</v>
      </c>
      <c r="AA365" s="140">
        <f t="shared" si="131"/>
        <v>0</v>
      </c>
      <c r="AB365" s="140">
        <f t="shared" si="132"/>
        <v>0</v>
      </c>
    </row>
    <row r="366" spans="1:28" ht="38.25">
      <c r="A366" s="21" t="s">
        <v>19</v>
      </c>
      <c r="B366" s="22">
        <v>1</v>
      </c>
      <c r="C366" s="22">
        <v>2</v>
      </c>
      <c r="D366" s="22">
        <v>3</v>
      </c>
      <c r="E366" s="22">
        <v>0</v>
      </c>
      <c r="F366" s="22">
        <v>6</v>
      </c>
      <c r="G366" s="43"/>
      <c r="H366" s="46" t="s">
        <v>299</v>
      </c>
      <c r="I366" s="43" t="s">
        <v>57</v>
      </c>
      <c r="J366" s="131">
        <v>0</v>
      </c>
      <c r="K366" s="131">
        <v>0</v>
      </c>
      <c r="L366" s="131">
        <v>0</v>
      </c>
      <c r="M366" s="95">
        <v>0</v>
      </c>
      <c r="N366" s="95">
        <v>6</v>
      </c>
      <c r="O366" s="95">
        <v>0</v>
      </c>
      <c r="P366" s="270">
        <v>0</v>
      </c>
      <c r="Q366" s="270">
        <v>0</v>
      </c>
      <c r="R366" s="270">
        <v>0</v>
      </c>
      <c r="S366" s="270">
        <v>50</v>
      </c>
      <c r="T366" s="270">
        <v>50</v>
      </c>
      <c r="U366" s="270">
        <v>38</v>
      </c>
      <c r="V366" s="270">
        <v>38</v>
      </c>
      <c r="W366" s="131">
        <f t="shared" si="133"/>
        <v>94</v>
      </c>
      <c r="X366" s="43">
        <v>2024</v>
      </c>
      <c r="Y366" s="140">
        <f t="shared" si="129"/>
        <v>0</v>
      </c>
      <c r="Z366" s="141">
        <f t="shared" si="130"/>
        <v>0</v>
      </c>
      <c r="AA366" s="140">
        <f t="shared" si="131"/>
        <v>0</v>
      </c>
      <c r="AB366" s="140">
        <f t="shared" si="132"/>
        <v>0</v>
      </c>
    </row>
    <row r="367" spans="1:28" s="2" customFormat="1" ht="38.25">
      <c r="A367" s="36" t="s">
        <v>19</v>
      </c>
      <c r="B367" s="37">
        <v>1</v>
      </c>
      <c r="C367" s="37">
        <v>2</v>
      </c>
      <c r="D367" s="37">
        <v>3</v>
      </c>
      <c r="E367" s="37">
        <v>0</v>
      </c>
      <c r="F367" s="37">
        <v>7</v>
      </c>
      <c r="G367" s="37"/>
      <c r="H367" s="40" t="s">
        <v>300</v>
      </c>
      <c r="I367" s="37" t="s">
        <v>21</v>
      </c>
      <c r="J367" s="88">
        <f aca="true" t="shared" si="134" ref="J367:V367">J368+J369</f>
        <v>5043</v>
      </c>
      <c r="K367" s="88">
        <f t="shared" si="134"/>
        <v>7458.1</v>
      </c>
      <c r="L367" s="88">
        <f t="shared" si="134"/>
        <v>32753.2</v>
      </c>
      <c r="M367" s="89">
        <f t="shared" si="134"/>
        <v>38602.4</v>
      </c>
      <c r="N367" s="89">
        <v>27437.2</v>
      </c>
      <c r="O367" s="89">
        <v>34821.4</v>
      </c>
      <c r="P367" s="269">
        <f t="shared" si="134"/>
        <v>33480.4</v>
      </c>
      <c r="Q367" s="269">
        <v>24786</v>
      </c>
      <c r="R367" s="269">
        <f t="shared" si="134"/>
        <v>29566.5</v>
      </c>
      <c r="S367" s="269">
        <v>0</v>
      </c>
      <c r="T367" s="269">
        <f t="shared" si="134"/>
        <v>0</v>
      </c>
      <c r="U367" s="269">
        <v>0</v>
      </c>
      <c r="V367" s="269">
        <f t="shared" si="134"/>
        <v>0</v>
      </c>
      <c r="W367" s="306">
        <f t="shared" si="133"/>
        <v>174340.8</v>
      </c>
      <c r="X367" s="307">
        <v>2022</v>
      </c>
      <c r="Y367" s="140">
        <f t="shared" si="129"/>
        <v>-1341</v>
      </c>
      <c r="Z367" s="141">
        <f t="shared" si="130"/>
        <v>4780.5</v>
      </c>
      <c r="AA367" s="140">
        <f t="shared" si="131"/>
        <v>0</v>
      </c>
      <c r="AB367" s="140">
        <f t="shared" si="132"/>
        <v>0</v>
      </c>
    </row>
    <row r="368" spans="1:28" ht="12.75">
      <c r="A368" s="21" t="s">
        <v>19</v>
      </c>
      <c r="B368" s="22">
        <v>1</v>
      </c>
      <c r="C368" s="22">
        <v>2</v>
      </c>
      <c r="D368" s="22">
        <v>3</v>
      </c>
      <c r="E368" s="22">
        <v>0</v>
      </c>
      <c r="F368" s="22">
        <v>7</v>
      </c>
      <c r="G368" s="22">
        <v>3</v>
      </c>
      <c r="H368" s="26" t="s">
        <v>22</v>
      </c>
      <c r="I368" s="43" t="s">
        <v>21</v>
      </c>
      <c r="J368" s="138">
        <f>4060+100+70+537.7+275.3</f>
        <v>5043</v>
      </c>
      <c r="K368" s="138">
        <v>6958.1</v>
      </c>
      <c r="L368" s="138">
        <f>32753.248-150</f>
        <v>32603.2</v>
      </c>
      <c r="M368" s="91">
        <v>37878.6</v>
      </c>
      <c r="N368" s="91">
        <v>27056.2</v>
      </c>
      <c r="O368" s="91">
        <v>34821.4</v>
      </c>
      <c r="P368" s="262">
        <f>33352.2+128.18339</f>
        <v>33480.4</v>
      </c>
      <c r="Q368" s="262">
        <v>24786</v>
      </c>
      <c r="R368" s="262">
        <v>29566.5</v>
      </c>
      <c r="S368" s="262">
        <v>0</v>
      </c>
      <c r="T368" s="262">
        <v>0</v>
      </c>
      <c r="U368" s="262">
        <v>0</v>
      </c>
      <c r="V368" s="262">
        <v>0</v>
      </c>
      <c r="W368" s="308">
        <f t="shared" si="133"/>
        <v>172586</v>
      </c>
      <c r="X368" s="287">
        <v>2022</v>
      </c>
      <c r="Y368" s="140">
        <f t="shared" si="129"/>
        <v>-1341</v>
      </c>
      <c r="Z368" s="141">
        <f t="shared" si="130"/>
        <v>4780.5</v>
      </c>
      <c r="AA368" s="140">
        <f t="shared" si="131"/>
        <v>0</v>
      </c>
      <c r="AB368" s="140">
        <f t="shared" si="132"/>
        <v>0</v>
      </c>
    </row>
    <row r="369" spans="1:28" ht="17.25" customHeight="1">
      <c r="A369" s="21" t="s">
        <v>19</v>
      </c>
      <c r="B369" s="22">
        <v>1</v>
      </c>
      <c r="C369" s="22">
        <v>2</v>
      </c>
      <c r="D369" s="22">
        <v>3</v>
      </c>
      <c r="E369" s="22">
        <v>0</v>
      </c>
      <c r="F369" s="22">
        <v>7</v>
      </c>
      <c r="G369" s="22">
        <v>2</v>
      </c>
      <c r="H369" s="26" t="s">
        <v>23</v>
      </c>
      <c r="I369" s="43" t="s">
        <v>21</v>
      </c>
      <c r="J369" s="138">
        <v>0</v>
      </c>
      <c r="K369" s="138">
        <v>500</v>
      </c>
      <c r="L369" s="138">
        <v>150</v>
      </c>
      <c r="M369" s="91">
        <v>723.8</v>
      </c>
      <c r="N369" s="91">
        <v>381</v>
      </c>
      <c r="O369" s="91">
        <v>0</v>
      </c>
      <c r="P369" s="262">
        <v>0</v>
      </c>
      <c r="Q369" s="262">
        <v>0</v>
      </c>
      <c r="R369" s="262">
        <v>0</v>
      </c>
      <c r="S369" s="262">
        <v>0</v>
      </c>
      <c r="T369" s="262">
        <v>0</v>
      </c>
      <c r="U369" s="262">
        <v>0</v>
      </c>
      <c r="V369" s="262">
        <v>0</v>
      </c>
      <c r="W369" s="308">
        <f t="shared" si="133"/>
        <v>1754.8</v>
      </c>
      <c r="X369" s="287">
        <v>2020</v>
      </c>
      <c r="Y369" s="140">
        <f t="shared" si="129"/>
        <v>0</v>
      </c>
      <c r="Z369" s="141">
        <f t="shared" si="130"/>
        <v>0</v>
      </c>
      <c r="AA369" s="140">
        <f t="shared" si="131"/>
        <v>0</v>
      </c>
      <c r="AB369" s="140">
        <f t="shared" si="132"/>
        <v>0</v>
      </c>
    </row>
    <row r="370" spans="1:28" ht="25.5">
      <c r="A370" s="21" t="s">
        <v>19</v>
      </c>
      <c r="B370" s="22">
        <v>1</v>
      </c>
      <c r="C370" s="22">
        <v>2</v>
      </c>
      <c r="D370" s="22">
        <v>3</v>
      </c>
      <c r="E370" s="22">
        <v>0</v>
      </c>
      <c r="F370" s="22">
        <v>7</v>
      </c>
      <c r="G370" s="43"/>
      <c r="H370" s="46" t="s">
        <v>301</v>
      </c>
      <c r="I370" s="43" t="s">
        <v>242</v>
      </c>
      <c r="J370" s="120">
        <f>1270+40+46.9+89+147.3+191.4+96+80.7</f>
        <v>1961.3</v>
      </c>
      <c r="K370" s="120">
        <v>2452</v>
      </c>
      <c r="L370" s="120">
        <f>8178.7+0.5</f>
        <v>8179.2</v>
      </c>
      <c r="M370" s="72">
        <v>9415.5</v>
      </c>
      <c r="N370" s="72">
        <v>8106.8</v>
      </c>
      <c r="O370" s="217">
        <v>6940.1</v>
      </c>
      <c r="P370" s="271">
        <v>7230.5</v>
      </c>
      <c r="Q370" s="264">
        <v>5508</v>
      </c>
      <c r="R370" s="264">
        <f>5508+1062</f>
        <v>6570</v>
      </c>
      <c r="S370" s="264">
        <v>0</v>
      </c>
      <c r="T370" s="264">
        <v>0</v>
      </c>
      <c r="U370" s="264">
        <v>0</v>
      </c>
      <c r="V370" s="264">
        <v>0</v>
      </c>
      <c r="W370" s="297">
        <f t="shared" si="133"/>
        <v>43915.3</v>
      </c>
      <c r="X370" s="309">
        <v>2022</v>
      </c>
      <c r="Y370" s="140">
        <f t="shared" si="129"/>
        <v>290.4</v>
      </c>
      <c r="Z370" s="141">
        <f t="shared" si="130"/>
        <v>1062</v>
      </c>
      <c r="AA370" s="140">
        <f t="shared" si="131"/>
        <v>0</v>
      </c>
      <c r="AB370" s="140">
        <f t="shared" si="132"/>
        <v>0</v>
      </c>
    </row>
    <row r="371" spans="1:28" s="2" customFormat="1" ht="45.75" customHeight="1">
      <c r="A371" s="23" t="s">
        <v>19</v>
      </c>
      <c r="B371" s="24">
        <v>1</v>
      </c>
      <c r="C371" s="24">
        <v>3</v>
      </c>
      <c r="D371" s="24">
        <v>0</v>
      </c>
      <c r="E371" s="24">
        <v>0</v>
      </c>
      <c r="F371" s="24">
        <v>0</v>
      </c>
      <c r="G371" s="24"/>
      <c r="H371" s="25" t="s">
        <v>302</v>
      </c>
      <c r="I371" s="24" t="s">
        <v>21</v>
      </c>
      <c r="J371" s="61">
        <f aca="true" t="shared" si="135" ref="J371:V371">J372+J373</f>
        <v>98867</v>
      </c>
      <c r="K371" s="61">
        <f t="shared" si="135"/>
        <v>102623.5</v>
      </c>
      <c r="L371" s="61">
        <f t="shared" si="135"/>
        <v>137472.9</v>
      </c>
      <c r="M371" s="62">
        <f t="shared" si="135"/>
        <v>143223.7</v>
      </c>
      <c r="N371" s="62">
        <v>157696.5</v>
      </c>
      <c r="O371" s="62">
        <v>128016.3</v>
      </c>
      <c r="P371" s="294">
        <f t="shared" si="135"/>
        <v>137918.3</v>
      </c>
      <c r="Q371" s="62">
        <v>158986.6</v>
      </c>
      <c r="R371" s="294">
        <f t="shared" si="135"/>
        <v>158986.6</v>
      </c>
      <c r="S371" s="62">
        <v>174770.3</v>
      </c>
      <c r="T371" s="294">
        <f t="shared" si="135"/>
        <v>174770.3</v>
      </c>
      <c r="U371" s="62">
        <v>120286.7</v>
      </c>
      <c r="V371" s="294">
        <f t="shared" si="135"/>
        <v>120286.7</v>
      </c>
      <c r="W371" s="61">
        <f t="shared" si="133"/>
        <v>1231845.5</v>
      </c>
      <c r="X371" s="24">
        <v>2024</v>
      </c>
      <c r="Y371" s="140">
        <f t="shared" si="129"/>
        <v>9902</v>
      </c>
      <c r="Z371" s="141">
        <f t="shared" si="130"/>
        <v>0</v>
      </c>
      <c r="AA371" s="140">
        <f t="shared" si="131"/>
        <v>0</v>
      </c>
      <c r="AB371" s="140">
        <f t="shared" si="132"/>
        <v>0</v>
      </c>
    </row>
    <row r="372" spans="1:28" s="2" customFormat="1" ht="12.75">
      <c r="A372" s="21" t="s">
        <v>19</v>
      </c>
      <c r="B372" s="22">
        <v>1</v>
      </c>
      <c r="C372" s="22">
        <v>3</v>
      </c>
      <c r="D372" s="22">
        <v>0</v>
      </c>
      <c r="E372" s="22">
        <v>0</v>
      </c>
      <c r="F372" s="22">
        <v>0</v>
      </c>
      <c r="G372" s="22">
        <v>3</v>
      </c>
      <c r="H372" s="26" t="s">
        <v>22</v>
      </c>
      <c r="I372" s="22" t="s">
        <v>21</v>
      </c>
      <c r="J372" s="138">
        <f aca="true" t="shared" si="136" ref="J372:V372">J375+J390+J405+J429+J455</f>
        <v>98867</v>
      </c>
      <c r="K372" s="138">
        <f t="shared" si="136"/>
        <v>102432.2</v>
      </c>
      <c r="L372" s="138">
        <f t="shared" si="136"/>
        <v>133585.7</v>
      </c>
      <c r="M372" s="138">
        <f t="shared" si="136"/>
        <v>142604.3</v>
      </c>
      <c r="N372" s="138">
        <v>148405.6</v>
      </c>
      <c r="O372" s="138">
        <v>128016.3</v>
      </c>
      <c r="P372" s="295">
        <f t="shared" si="136"/>
        <v>137918.3</v>
      </c>
      <c r="Q372" s="138">
        <v>158986.6</v>
      </c>
      <c r="R372" s="295">
        <f t="shared" si="136"/>
        <v>158986.6</v>
      </c>
      <c r="S372" s="138">
        <v>174770.3</v>
      </c>
      <c r="T372" s="295">
        <f t="shared" si="136"/>
        <v>174770.3</v>
      </c>
      <c r="U372" s="138">
        <v>120286.7</v>
      </c>
      <c r="V372" s="295">
        <f t="shared" si="136"/>
        <v>120286.7</v>
      </c>
      <c r="W372" s="138">
        <f t="shared" si="133"/>
        <v>1217856.7</v>
      </c>
      <c r="X372" s="310">
        <v>2024</v>
      </c>
      <c r="Y372" s="140">
        <f t="shared" si="129"/>
        <v>9902</v>
      </c>
      <c r="Z372" s="141">
        <f t="shared" si="130"/>
        <v>0</v>
      </c>
      <c r="AA372" s="140">
        <f t="shared" si="131"/>
        <v>0</v>
      </c>
      <c r="AB372" s="140">
        <f t="shared" si="132"/>
        <v>0</v>
      </c>
    </row>
    <row r="373" spans="1:28" s="2" customFormat="1" ht="12.75">
      <c r="A373" s="21" t="s">
        <v>19</v>
      </c>
      <c r="B373" s="22">
        <v>1</v>
      </c>
      <c r="C373" s="22">
        <v>3</v>
      </c>
      <c r="D373" s="22">
        <v>0</v>
      </c>
      <c r="E373" s="22">
        <v>0</v>
      </c>
      <c r="F373" s="22">
        <v>0</v>
      </c>
      <c r="G373" s="22">
        <v>2</v>
      </c>
      <c r="H373" s="26" t="s">
        <v>23</v>
      </c>
      <c r="I373" s="22" t="s">
        <v>21</v>
      </c>
      <c r="J373" s="138">
        <f>J376+J391</f>
        <v>0</v>
      </c>
      <c r="K373" s="138">
        <f>K376+K391+K406+K430</f>
        <v>191.3</v>
      </c>
      <c r="L373" s="138">
        <f aca="true" t="shared" si="137" ref="L373:V373">L376+L391+L406+L430</f>
        <v>3887.2</v>
      </c>
      <c r="M373" s="138">
        <f t="shared" si="137"/>
        <v>619.4</v>
      </c>
      <c r="N373" s="138">
        <v>9290.9</v>
      </c>
      <c r="O373" s="138">
        <v>0</v>
      </c>
      <c r="P373" s="295">
        <f t="shared" si="137"/>
        <v>0</v>
      </c>
      <c r="Q373" s="138">
        <v>0</v>
      </c>
      <c r="R373" s="295">
        <f t="shared" si="137"/>
        <v>0</v>
      </c>
      <c r="S373" s="138">
        <v>0</v>
      </c>
      <c r="T373" s="295">
        <f t="shared" si="137"/>
        <v>0</v>
      </c>
      <c r="U373" s="138">
        <v>0</v>
      </c>
      <c r="V373" s="295">
        <f t="shared" si="137"/>
        <v>0</v>
      </c>
      <c r="W373" s="138">
        <f t="shared" si="133"/>
        <v>13988.8</v>
      </c>
      <c r="X373" s="22">
        <v>2020</v>
      </c>
      <c r="Y373" s="140">
        <f t="shared" si="129"/>
        <v>0</v>
      </c>
      <c r="Z373" s="141">
        <f t="shared" si="130"/>
        <v>0</v>
      </c>
      <c r="AA373" s="140">
        <f t="shared" si="131"/>
        <v>0</v>
      </c>
      <c r="AB373" s="140">
        <f t="shared" si="132"/>
        <v>0</v>
      </c>
    </row>
    <row r="374" spans="1:28" s="2" customFormat="1" ht="51">
      <c r="A374" s="160" t="s">
        <v>19</v>
      </c>
      <c r="B374" s="34">
        <v>1</v>
      </c>
      <c r="C374" s="34">
        <v>3</v>
      </c>
      <c r="D374" s="34">
        <v>1</v>
      </c>
      <c r="E374" s="34">
        <v>0</v>
      </c>
      <c r="F374" s="34">
        <v>0</v>
      </c>
      <c r="G374" s="34"/>
      <c r="H374" s="35" t="s">
        <v>303</v>
      </c>
      <c r="I374" s="34" t="s">
        <v>21</v>
      </c>
      <c r="J374" s="81">
        <f aca="true" t="shared" si="138" ref="J374:V374">J375+J376</f>
        <v>77831.5</v>
      </c>
      <c r="K374" s="81">
        <f t="shared" si="138"/>
        <v>71342</v>
      </c>
      <c r="L374" s="81">
        <f t="shared" si="138"/>
        <v>76243</v>
      </c>
      <c r="M374" s="82">
        <f t="shared" si="138"/>
        <v>75924.6</v>
      </c>
      <c r="N374" s="82">
        <v>78544</v>
      </c>
      <c r="O374" s="82">
        <v>83491.9</v>
      </c>
      <c r="P374" s="296">
        <f t="shared" si="138"/>
        <v>90991.2</v>
      </c>
      <c r="Q374" s="296">
        <v>80349</v>
      </c>
      <c r="R374" s="296">
        <f t="shared" si="138"/>
        <v>80349</v>
      </c>
      <c r="S374" s="296">
        <v>80348.9</v>
      </c>
      <c r="T374" s="296">
        <f t="shared" si="138"/>
        <v>80348.9</v>
      </c>
      <c r="U374" s="296">
        <v>82187.1</v>
      </c>
      <c r="V374" s="296">
        <f t="shared" si="138"/>
        <v>82187.1</v>
      </c>
      <c r="W374" s="81">
        <f t="shared" si="133"/>
        <v>713761.3</v>
      </c>
      <c r="X374" s="34">
        <v>2024</v>
      </c>
      <c r="Y374" s="140">
        <f t="shared" si="129"/>
        <v>7499.3</v>
      </c>
      <c r="Z374" s="141">
        <f t="shared" si="130"/>
        <v>0</v>
      </c>
      <c r="AA374" s="140">
        <f t="shared" si="131"/>
        <v>0</v>
      </c>
      <c r="AB374" s="140">
        <f t="shared" si="132"/>
        <v>0</v>
      </c>
    </row>
    <row r="375" spans="1:28" s="2" customFormat="1" ht="12.75">
      <c r="A375" s="21" t="s">
        <v>19</v>
      </c>
      <c r="B375" s="22">
        <v>1</v>
      </c>
      <c r="C375" s="22">
        <v>3</v>
      </c>
      <c r="D375" s="22">
        <v>1</v>
      </c>
      <c r="E375" s="22">
        <v>0</v>
      </c>
      <c r="F375" s="22">
        <v>0</v>
      </c>
      <c r="G375" s="22">
        <v>3</v>
      </c>
      <c r="H375" s="26" t="s">
        <v>22</v>
      </c>
      <c r="I375" s="22" t="s">
        <v>21</v>
      </c>
      <c r="J375" s="138">
        <f aca="true" t="shared" si="139" ref="J375:M376">J382+J386</f>
        <v>77831.5</v>
      </c>
      <c r="K375" s="138">
        <f t="shared" si="139"/>
        <v>71342</v>
      </c>
      <c r="L375" s="138">
        <f t="shared" si="139"/>
        <v>72492.5</v>
      </c>
      <c r="M375" s="91">
        <f t="shared" si="139"/>
        <v>75924.6</v>
      </c>
      <c r="N375" s="91">
        <v>78544</v>
      </c>
      <c r="O375" s="91">
        <v>83491.9</v>
      </c>
      <c r="P375" s="262">
        <f>P382+P386</f>
        <v>90991.2</v>
      </c>
      <c r="Q375" s="262">
        <v>80349</v>
      </c>
      <c r="R375" s="262">
        <f>R382+R386</f>
        <v>80349</v>
      </c>
      <c r="S375" s="262">
        <v>80348.9</v>
      </c>
      <c r="T375" s="262">
        <f>T382+T386</f>
        <v>80348.9</v>
      </c>
      <c r="U375" s="262">
        <v>82187.1</v>
      </c>
      <c r="V375" s="262">
        <f>V382+V386</f>
        <v>82187.1</v>
      </c>
      <c r="W375" s="138">
        <f t="shared" si="133"/>
        <v>710010.8</v>
      </c>
      <c r="X375" s="22">
        <v>2024</v>
      </c>
      <c r="Y375" s="140">
        <f t="shared" si="129"/>
        <v>7499.3</v>
      </c>
      <c r="Z375" s="141">
        <f t="shared" si="130"/>
        <v>0</v>
      </c>
      <c r="AA375" s="140">
        <f t="shared" si="131"/>
        <v>0</v>
      </c>
      <c r="AB375" s="140">
        <f t="shared" si="132"/>
        <v>0</v>
      </c>
    </row>
    <row r="376" spans="1:28" s="2" customFormat="1" ht="12.75">
      <c r="A376" s="21" t="s">
        <v>19</v>
      </c>
      <c r="B376" s="22">
        <v>1</v>
      </c>
      <c r="C376" s="22">
        <v>3</v>
      </c>
      <c r="D376" s="22">
        <v>1</v>
      </c>
      <c r="E376" s="22">
        <v>0</v>
      </c>
      <c r="F376" s="22">
        <v>0</v>
      </c>
      <c r="G376" s="22">
        <v>2</v>
      </c>
      <c r="H376" s="26" t="s">
        <v>23</v>
      </c>
      <c r="I376" s="22" t="s">
        <v>21</v>
      </c>
      <c r="J376" s="138">
        <f t="shared" si="139"/>
        <v>0</v>
      </c>
      <c r="K376" s="138">
        <f t="shared" si="139"/>
        <v>0</v>
      </c>
      <c r="L376" s="138">
        <f t="shared" si="139"/>
        <v>3750.5</v>
      </c>
      <c r="M376" s="91">
        <f t="shared" si="139"/>
        <v>0</v>
      </c>
      <c r="N376" s="91">
        <v>0</v>
      </c>
      <c r="O376" s="91">
        <v>0</v>
      </c>
      <c r="P376" s="262">
        <f>P383+P387</f>
        <v>0</v>
      </c>
      <c r="Q376" s="262">
        <v>0</v>
      </c>
      <c r="R376" s="262">
        <f>R383+R387</f>
        <v>0</v>
      </c>
      <c r="S376" s="262">
        <v>0</v>
      </c>
      <c r="T376" s="262">
        <f>T383+T387</f>
        <v>0</v>
      </c>
      <c r="U376" s="262">
        <v>0</v>
      </c>
      <c r="V376" s="262">
        <f>V383+V387</f>
        <v>0</v>
      </c>
      <c r="W376" s="138">
        <f t="shared" si="133"/>
        <v>3750.5</v>
      </c>
      <c r="X376" s="22">
        <v>2018</v>
      </c>
      <c r="Y376" s="140">
        <f t="shared" si="129"/>
        <v>0</v>
      </c>
      <c r="Z376" s="141">
        <f t="shared" si="130"/>
        <v>0</v>
      </c>
      <c r="AA376" s="140">
        <f t="shared" si="131"/>
        <v>0</v>
      </c>
      <c r="AB376" s="140">
        <f t="shared" si="132"/>
        <v>0</v>
      </c>
    </row>
    <row r="377" spans="1:28" ht="63.75">
      <c r="A377" s="21" t="s">
        <v>19</v>
      </c>
      <c r="B377" s="22">
        <v>1</v>
      </c>
      <c r="C377" s="22">
        <v>3</v>
      </c>
      <c r="D377" s="22">
        <v>1</v>
      </c>
      <c r="E377" s="22">
        <v>0</v>
      </c>
      <c r="F377" s="22">
        <v>0</v>
      </c>
      <c r="G377" s="43"/>
      <c r="H377" s="44" t="s">
        <v>304</v>
      </c>
      <c r="I377" s="43" t="s">
        <v>28</v>
      </c>
      <c r="J377" s="70">
        <v>100</v>
      </c>
      <c r="K377" s="70">
        <v>100</v>
      </c>
      <c r="L377" s="70">
        <v>100</v>
      </c>
      <c r="M377" s="70">
        <v>100</v>
      </c>
      <c r="N377" s="120">
        <v>100</v>
      </c>
      <c r="O377" s="120">
        <v>100</v>
      </c>
      <c r="P377" s="297">
        <v>100</v>
      </c>
      <c r="Q377" s="311">
        <v>100</v>
      </c>
      <c r="R377" s="311">
        <v>100</v>
      </c>
      <c r="S377" s="311">
        <v>100</v>
      </c>
      <c r="T377" s="311">
        <v>100</v>
      </c>
      <c r="U377" s="311">
        <v>100</v>
      </c>
      <c r="V377" s="311">
        <v>100</v>
      </c>
      <c r="W377" s="70">
        <v>100</v>
      </c>
      <c r="X377" s="30">
        <v>2024</v>
      </c>
      <c r="Y377" s="140">
        <f t="shared" si="129"/>
        <v>0</v>
      </c>
      <c r="Z377" s="141">
        <f t="shared" si="130"/>
        <v>0</v>
      </c>
      <c r="AA377" s="140">
        <f t="shared" si="131"/>
        <v>0</v>
      </c>
      <c r="AB377" s="140">
        <f t="shared" si="132"/>
        <v>0</v>
      </c>
    </row>
    <row r="378" spans="1:28" ht="63.75">
      <c r="A378" s="21" t="s">
        <v>19</v>
      </c>
      <c r="B378" s="22">
        <v>1</v>
      </c>
      <c r="C378" s="22">
        <v>3</v>
      </c>
      <c r="D378" s="22">
        <v>1</v>
      </c>
      <c r="E378" s="22">
        <v>0</v>
      </c>
      <c r="F378" s="22">
        <v>0</v>
      </c>
      <c r="G378" s="252"/>
      <c r="H378" s="253" t="s">
        <v>305</v>
      </c>
      <c r="I378" s="252" t="s">
        <v>28</v>
      </c>
      <c r="J378" s="298">
        <v>98</v>
      </c>
      <c r="K378" s="298">
        <v>99</v>
      </c>
      <c r="L378" s="298">
        <v>100</v>
      </c>
      <c r="M378" s="298">
        <v>100</v>
      </c>
      <c r="N378" s="272">
        <v>100</v>
      </c>
      <c r="O378" s="272">
        <v>100</v>
      </c>
      <c r="P378" s="299">
        <v>100</v>
      </c>
      <c r="Q378" s="312">
        <v>100</v>
      </c>
      <c r="R378" s="312">
        <v>100</v>
      </c>
      <c r="S378" s="312">
        <v>100</v>
      </c>
      <c r="T378" s="312">
        <v>100</v>
      </c>
      <c r="U378" s="312">
        <v>100</v>
      </c>
      <c r="V378" s="312">
        <v>100</v>
      </c>
      <c r="W378" s="298">
        <v>100</v>
      </c>
      <c r="X378" s="313">
        <v>2024</v>
      </c>
      <c r="Y378" s="140">
        <f t="shared" si="129"/>
        <v>0</v>
      </c>
      <c r="Z378" s="141">
        <f t="shared" si="130"/>
        <v>0</v>
      </c>
      <c r="AA378" s="140">
        <f t="shared" si="131"/>
        <v>0</v>
      </c>
      <c r="AB378" s="140">
        <f t="shared" si="132"/>
        <v>0</v>
      </c>
    </row>
    <row r="379" spans="1:28" ht="51">
      <c r="A379" s="36" t="s">
        <v>19</v>
      </c>
      <c r="B379" s="37">
        <v>1</v>
      </c>
      <c r="C379" s="37">
        <v>3</v>
      </c>
      <c r="D379" s="37">
        <v>1</v>
      </c>
      <c r="E379" s="37">
        <v>0</v>
      </c>
      <c r="F379" s="37">
        <v>1</v>
      </c>
      <c r="G379" s="38"/>
      <c r="H379" s="39" t="s">
        <v>306</v>
      </c>
      <c r="I379" s="38" t="s">
        <v>43</v>
      </c>
      <c r="J379" s="87" t="s">
        <v>44</v>
      </c>
      <c r="K379" s="87" t="s">
        <v>44</v>
      </c>
      <c r="L379" s="300" t="s">
        <v>44</v>
      </c>
      <c r="M379" s="125" t="s">
        <v>44</v>
      </c>
      <c r="N379" s="125" t="s">
        <v>44</v>
      </c>
      <c r="O379" s="125" t="s">
        <v>44</v>
      </c>
      <c r="P379" s="265" t="s">
        <v>44</v>
      </c>
      <c r="Q379" s="265" t="s">
        <v>44</v>
      </c>
      <c r="R379" s="265" t="s">
        <v>44</v>
      </c>
      <c r="S379" s="265" t="s">
        <v>44</v>
      </c>
      <c r="T379" s="265" t="s">
        <v>44</v>
      </c>
      <c r="U379" s="265" t="s">
        <v>44</v>
      </c>
      <c r="V379" s="265" t="s">
        <v>44</v>
      </c>
      <c r="W379" s="87" t="s">
        <v>44</v>
      </c>
      <c r="X379" s="38">
        <v>2024</v>
      </c>
      <c r="Y379" s="140"/>
      <c r="Z379" s="141"/>
      <c r="AA379" s="140"/>
      <c r="AB379" s="140"/>
    </row>
    <row r="380" spans="1:28" ht="38.25">
      <c r="A380" s="21" t="s">
        <v>19</v>
      </c>
      <c r="B380" s="22">
        <v>1</v>
      </c>
      <c r="C380" s="22">
        <v>3</v>
      </c>
      <c r="D380" s="22">
        <v>1</v>
      </c>
      <c r="E380" s="22">
        <v>0</v>
      </c>
      <c r="F380" s="22">
        <v>1</v>
      </c>
      <c r="G380" s="43"/>
      <c r="H380" s="44" t="s">
        <v>307</v>
      </c>
      <c r="I380" s="43" t="s">
        <v>28</v>
      </c>
      <c r="J380" s="120">
        <v>100</v>
      </c>
      <c r="K380" s="120">
        <v>100</v>
      </c>
      <c r="L380" s="120">
        <v>100</v>
      </c>
      <c r="M380" s="72">
        <v>100</v>
      </c>
      <c r="N380" s="72">
        <v>100</v>
      </c>
      <c r="O380" s="72">
        <v>100</v>
      </c>
      <c r="P380" s="264">
        <v>100</v>
      </c>
      <c r="Q380" s="264">
        <v>100</v>
      </c>
      <c r="R380" s="264">
        <v>100</v>
      </c>
      <c r="S380" s="264">
        <v>100</v>
      </c>
      <c r="T380" s="264">
        <v>100</v>
      </c>
      <c r="U380" s="264">
        <v>100</v>
      </c>
      <c r="V380" s="264">
        <v>100</v>
      </c>
      <c r="W380" s="129">
        <v>100</v>
      </c>
      <c r="X380" s="43">
        <v>2024</v>
      </c>
      <c r="Y380" s="140">
        <f aca="true" t="shared" si="140" ref="Y380:Y393">P380-O380</f>
        <v>0</v>
      </c>
      <c r="Z380" s="141">
        <f aca="true" t="shared" si="141" ref="Z380:Z393">R380-Q380</f>
        <v>0</v>
      </c>
      <c r="AA380" s="140">
        <f aca="true" t="shared" si="142" ref="AA380:AA393">T380-S380</f>
        <v>0</v>
      </c>
      <c r="AB380" s="140">
        <f aca="true" t="shared" si="143" ref="AB380:AB393">V380-U380</f>
        <v>0</v>
      </c>
    </row>
    <row r="381" spans="1:28" s="2" customFormat="1" ht="38.25">
      <c r="A381" s="36" t="s">
        <v>19</v>
      </c>
      <c r="B381" s="37">
        <v>1</v>
      </c>
      <c r="C381" s="37">
        <v>3</v>
      </c>
      <c r="D381" s="37">
        <v>1</v>
      </c>
      <c r="E381" s="37">
        <v>0</v>
      </c>
      <c r="F381" s="37">
        <v>2</v>
      </c>
      <c r="G381" s="37"/>
      <c r="H381" s="40" t="s">
        <v>308</v>
      </c>
      <c r="I381" s="37" t="s">
        <v>21</v>
      </c>
      <c r="J381" s="88">
        <f aca="true" t="shared" si="144" ref="J381:V381">J382+J383</f>
        <v>72039.1</v>
      </c>
      <c r="K381" s="88">
        <f t="shared" si="144"/>
        <v>64992.6</v>
      </c>
      <c r="L381" s="88">
        <f t="shared" si="144"/>
        <v>71562.7</v>
      </c>
      <c r="M381" s="89">
        <f t="shared" si="144"/>
        <v>71323.8</v>
      </c>
      <c r="N381" s="89">
        <v>75210.3</v>
      </c>
      <c r="O381" s="89">
        <v>80084.9</v>
      </c>
      <c r="P381" s="301">
        <f t="shared" si="144"/>
        <v>81196.5</v>
      </c>
      <c r="Q381" s="269">
        <v>76942</v>
      </c>
      <c r="R381" s="269">
        <f t="shared" si="144"/>
        <v>76942</v>
      </c>
      <c r="S381" s="269">
        <v>76941.9</v>
      </c>
      <c r="T381" s="269">
        <f t="shared" si="144"/>
        <v>76941.9</v>
      </c>
      <c r="U381" s="269">
        <v>76942</v>
      </c>
      <c r="V381" s="269">
        <f t="shared" si="144"/>
        <v>76942</v>
      </c>
      <c r="W381" s="88">
        <f>J381+K381+L381+M381+N381+P381+R381+T381+V381</f>
        <v>667150.9</v>
      </c>
      <c r="X381" s="37">
        <v>2024</v>
      </c>
      <c r="Y381" s="140">
        <f t="shared" si="140"/>
        <v>1111.6</v>
      </c>
      <c r="Z381" s="141">
        <f t="shared" si="141"/>
        <v>0</v>
      </c>
      <c r="AA381" s="140">
        <f t="shared" si="142"/>
        <v>0</v>
      </c>
      <c r="AB381" s="140">
        <f t="shared" si="143"/>
        <v>0</v>
      </c>
    </row>
    <row r="382" spans="1:28" s="2" customFormat="1" ht="12.75">
      <c r="A382" s="21" t="s">
        <v>19</v>
      </c>
      <c r="B382" s="22">
        <v>1</v>
      </c>
      <c r="C382" s="22">
        <v>3</v>
      </c>
      <c r="D382" s="22">
        <v>1</v>
      </c>
      <c r="E382" s="22">
        <v>0</v>
      </c>
      <c r="F382" s="22">
        <v>2</v>
      </c>
      <c r="G382" s="22">
        <v>3</v>
      </c>
      <c r="H382" s="26" t="s">
        <v>22</v>
      </c>
      <c r="I382" s="22" t="s">
        <v>21</v>
      </c>
      <c r="J382" s="138">
        <f>69439.1-0.1+4910-2309.9</f>
        <v>72039.1</v>
      </c>
      <c r="K382" s="138">
        <f>72121.9-7129.3</f>
        <v>64992.6</v>
      </c>
      <c r="L382" s="138">
        <v>67917.1</v>
      </c>
      <c r="M382" s="91">
        <v>71323.8</v>
      </c>
      <c r="N382" s="91">
        <v>75210.3</v>
      </c>
      <c r="O382" s="91">
        <v>80084.9</v>
      </c>
      <c r="P382" s="302">
        <v>81196.5</v>
      </c>
      <c r="Q382" s="262">
        <v>76942</v>
      </c>
      <c r="R382" s="262">
        <v>76942</v>
      </c>
      <c r="S382" s="262">
        <v>76941.9</v>
      </c>
      <c r="T382" s="262">
        <v>76941.9</v>
      </c>
      <c r="U382" s="262">
        <v>76942</v>
      </c>
      <c r="V382" s="262">
        <v>76942</v>
      </c>
      <c r="W382" s="138">
        <f>J382+K382+L382+M382+N382+P382+R382+T382+V382</f>
        <v>663505.3</v>
      </c>
      <c r="X382" s="22">
        <v>2024</v>
      </c>
      <c r="Y382" s="140">
        <f t="shared" si="140"/>
        <v>1111.6</v>
      </c>
      <c r="Z382" s="141">
        <f t="shared" si="141"/>
        <v>0</v>
      </c>
      <c r="AA382" s="140">
        <f t="shared" si="142"/>
        <v>0</v>
      </c>
      <c r="AB382" s="140">
        <f t="shared" si="143"/>
        <v>0</v>
      </c>
    </row>
    <row r="383" spans="1:28" s="2" customFormat="1" ht="12.75">
      <c r="A383" s="21" t="s">
        <v>19</v>
      </c>
      <c r="B383" s="22">
        <v>1</v>
      </c>
      <c r="C383" s="22">
        <v>3</v>
      </c>
      <c r="D383" s="22">
        <v>1</v>
      </c>
      <c r="E383" s="22">
        <v>0</v>
      </c>
      <c r="F383" s="22">
        <v>2</v>
      </c>
      <c r="G383" s="22">
        <v>2</v>
      </c>
      <c r="H383" s="26" t="s">
        <v>23</v>
      </c>
      <c r="I383" s="22" t="s">
        <v>21</v>
      </c>
      <c r="J383" s="138">
        <v>0</v>
      </c>
      <c r="K383" s="138">
        <v>0</v>
      </c>
      <c r="L383" s="138">
        <v>3645.6</v>
      </c>
      <c r="M383" s="91">
        <v>0</v>
      </c>
      <c r="N383" s="91">
        <v>0</v>
      </c>
      <c r="O383" s="91">
        <v>0</v>
      </c>
      <c r="P383" s="262">
        <v>0</v>
      </c>
      <c r="Q383" s="262">
        <v>0</v>
      </c>
      <c r="R383" s="262">
        <v>0</v>
      </c>
      <c r="S383" s="262">
        <v>0</v>
      </c>
      <c r="T383" s="262">
        <v>0</v>
      </c>
      <c r="U383" s="262">
        <v>0</v>
      </c>
      <c r="V383" s="262">
        <v>0</v>
      </c>
      <c r="W383" s="138">
        <f>J383+K383+L383+M383+N383+P383+R383+T383+V383</f>
        <v>3645.6</v>
      </c>
      <c r="X383" s="22">
        <v>2018</v>
      </c>
      <c r="Y383" s="140">
        <f t="shared" si="140"/>
        <v>0</v>
      </c>
      <c r="Z383" s="141">
        <f t="shared" si="141"/>
        <v>0</v>
      </c>
      <c r="AA383" s="140">
        <f t="shared" si="142"/>
        <v>0</v>
      </c>
      <c r="AB383" s="140">
        <f t="shared" si="143"/>
        <v>0</v>
      </c>
    </row>
    <row r="384" spans="1:28" ht="25.5">
      <c r="A384" s="21" t="s">
        <v>19</v>
      </c>
      <c r="B384" s="22">
        <v>1</v>
      </c>
      <c r="C384" s="22">
        <v>3</v>
      </c>
      <c r="D384" s="22">
        <v>1</v>
      </c>
      <c r="E384" s="22">
        <v>0</v>
      </c>
      <c r="F384" s="22">
        <v>2</v>
      </c>
      <c r="G384" s="43"/>
      <c r="H384" s="44" t="s">
        <v>309</v>
      </c>
      <c r="I384" s="43" t="s">
        <v>310</v>
      </c>
      <c r="J384" s="120">
        <v>387730.8</v>
      </c>
      <c r="K384" s="120">
        <f>387730.8-827.8</f>
        <v>386903</v>
      </c>
      <c r="L384" s="120">
        <v>386903</v>
      </c>
      <c r="M384" s="120">
        <v>386901.5</v>
      </c>
      <c r="N384" s="120">
        <v>390400.9</v>
      </c>
      <c r="O384" s="120">
        <v>390400.9</v>
      </c>
      <c r="P384" s="297">
        <v>390400.9</v>
      </c>
      <c r="Q384" s="297">
        <v>390400.9</v>
      </c>
      <c r="R384" s="297">
        <v>390400.9</v>
      </c>
      <c r="S384" s="297">
        <v>390400.9</v>
      </c>
      <c r="T384" s="297">
        <v>390400.9</v>
      </c>
      <c r="U384" s="297">
        <v>390400</v>
      </c>
      <c r="V384" s="297">
        <v>390400</v>
      </c>
      <c r="W384" s="120">
        <v>390400.9</v>
      </c>
      <c r="X384" s="43">
        <v>2024</v>
      </c>
      <c r="Y384" s="140">
        <f t="shared" si="140"/>
        <v>0</v>
      </c>
      <c r="Z384" s="141">
        <f t="shared" si="141"/>
        <v>0</v>
      </c>
      <c r="AA384" s="140">
        <f t="shared" si="142"/>
        <v>0</v>
      </c>
      <c r="AB384" s="140">
        <f t="shared" si="143"/>
        <v>0</v>
      </c>
    </row>
    <row r="385" spans="1:28" s="2" customFormat="1" ht="51">
      <c r="A385" s="36" t="s">
        <v>19</v>
      </c>
      <c r="B385" s="37">
        <v>1</v>
      </c>
      <c r="C385" s="37">
        <v>3</v>
      </c>
      <c r="D385" s="37">
        <v>1</v>
      </c>
      <c r="E385" s="37">
        <v>0</v>
      </c>
      <c r="F385" s="37">
        <v>3</v>
      </c>
      <c r="G385" s="37"/>
      <c r="H385" s="40" t="s">
        <v>311</v>
      </c>
      <c r="I385" s="37" t="s">
        <v>21</v>
      </c>
      <c r="J385" s="88">
        <f aca="true" t="shared" si="145" ref="J385:V385">J386+J387</f>
        <v>5792.4</v>
      </c>
      <c r="K385" s="88">
        <f t="shared" si="145"/>
        <v>6349.4</v>
      </c>
      <c r="L385" s="88">
        <f t="shared" si="145"/>
        <v>4680.3</v>
      </c>
      <c r="M385" s="89">
        <f t="shared" si="145"/>
        <v>4600.8</v>
      </c>
      <c r="N385" s="89">
        <v>3333.7</v>
      </c>
      <c r="O385" s="89">
        <v>3407</v>
      </c>
      <c r="P385" s="269">
        <f t="shared" si="145"/>
        <v>9794.7</v>
      </c>
      <c r="Q385" s="269">
        <v>3407</v>
      </c>
      <c r="R385" s="269">
        <f t="shared" si="145"/>
        <v>3407</v>
      </c>
      <c r="S385" s="269">
        <v>3407</v>
      </c>
      <c r="T385" s="269">
        <f t="shared" si="145"/>
        <v>3407</v>
      </c>
      <c r="U385" s="269">
        <v>5245.1</v>
      </c>
      <c r="V385" s="269">
        <f t="shared" si="145"/>
        <v>5245.1</v>
      </c>
      <c r="W385" s="88">
        <f>J385+K385+L385+M385+N385+P385+R385+T385+V385</f>
        <v>46610.4</v>
      </c>
      <c r="X385" s="37">
        <v>2024</v>
      </c>
      <c r="Y385" s="140">
        <f t="shared" si="140"/>
        <v>6387.7</v>
      </c>
      <c r="Z385" s="141">
        <f t="shared" si="141"/>
        <v>0</v>
      </c>
      <c r="AA385" s="140">
        <f t="shared" si="142"/>
        <v>0</v>
      </c>
      <c r="AB385" s="140">
        <f t="shared" si="143"/>
        <v>0</v>
      </c>
    </row>
    <row r="386" spans="1:28" s="2" customFormat="1" ht="12.75">
      <c r="A386" s="21" t="s">
        <v>19</v>
      </c>
      <c r="B386" s="22">
        <v>1</v>
      </c>
      <c r="C386" s="22">
        <v>3</v>
      </c>
      <c r="D386" s="22">
        <v>1</v>
      </c>
      <c r="E386" s="22">
        <v>0</v>
      </c>
      <c r="F386" s="22">
        <v>3</v>
      </c>
      <c r="G386" s="22">
        <v>3</v>
      </c>
      <c r="H386" s="26" t="s">
        <v>22</v>
      </c>
      <c r="I386" s="22" t="s">
        <v>21</v>
      </c>
      <c r="J386" s="138">
        <f>6353.8-561.4</f>
        <v>5792.4</v>
      </c>
      <c r="K386" s="138">
        <f>6651.5-245.8+0.1-56.4</f>
        <v>6349.4</v>
      </c>
      <c r="L386" s="138">
        <v>4575.4</v>
      </c>
      <c r="M386" s="91">
        <v>4600.8</v>
      </c>
      <c r="N386" s="91">
        <v>3333.7</v>
      </c>
      <c r="O386" s="91">
        <v>3407</v>
      </c>
      <c r="P386" s="262">
        <v>9794.7</v>
      </c>
      <c r="Q386" s="262">
        <v>3407</v>
      </c>
      <c r="R386" s="262">
        <v>3407</v>
      </c>
      <c r="S386" s="262">
        <v>3407</v>
      </c>
      <c r="T386" s="262">
        <v>3407</v>
      </c>
      <c r="U386" s="262">
        <v>5245.1</v>
      </c>
      <c r="V386" s="262">
        <v>5245.1</v>
      </c>
      <c r="W386" s="138">
        <f>J386+K386+L386+M386+N386+P386+R386+T386+V386</f>
        <v>46505.5</v>
      </c>
      <c r="X386" s="22">
        <v>2024</v>
      </c>
      <c r="Y386" s="140">
        <f t="shared" si="140"/>
        <v>6387.7</v>
      </c>
      <c r="Z386" s="141">
        <f t="shared" si="141"/>
        <v>0</v>
      </c>
      <c r="AA386" s="140">
        <f t="shared" si="142"/>
        <v>0</v>
      </c>
      <c r="AB386" s="140">
        <f t="shared" si="143"/>
        <v>0</v>
      </c>
    </row>
    <row r="387" spans="1:28" s="2" customFormat="1" ht="12.75">
      <c r="A387" s="21" t="s">
        <v>19</v>
      </c>
      <c r="B387" s="22">
        <v>1</v>
      </c>
      <c r="C387" s="22">
        <v>3</v>
      </c>
      <c r="D387" s="22">
        <v>1</v>
      </c>
      <c r="E387" s="22">
        <v>0</v>
      </c>
      <c r="F387" s="22">
        <v>3</v>
      </c>
      <c r="G387" s="22">
        <v>2</v>
      </c>
      <c r="H387" s="26" t="s">
        <v>23</v>
      </c>
      <c r="I387" s="22" t="s">
        <v>21</v>
      </c>
      <c r="J387" s="138">
        <v>0</v>
      </c>
      <c r="K387" s="138">
        <v>0</v>
      </c>
      <c r="L387" s="138">
        <v>104.9</v>
      </c>
      <c r="M387" s="91">
        <v>0</v>
      </c>
      <c r="N387" s="91">
        <v>0</v>
      </c>
      <c r="O387" s="91">
        <v>0</v>
      </c>
      <c r="P387" s="262">
        <v>0</v>
      </c>
      <c r="Q387" s="262"/>
      <c r="R387" s="262"/>
      <c r="S387" s="262"/>
      <c r="T387" s="262"/>
      <c r="U387" s="262"/>
      <c r="V387" s="262"/>
      <c r="W387" s="138">
        <f>J387+K387+L387+M387+N387+P387+R387+T387+V387</f>
        <v>104.9</v>
      </c>
      <c r="X387" s="22">
        <v>2018</v>
      </c>
      <c r="Y387" s="140">
        <f t="shared" si="140"/>
        <v>0</v>
      </c>
      <c r="Z387" s="141">
        <f t="shared" si="141"/>
        <v>0</v>
      </c>
      <c r="AA387" s="140">
        <f t="shared" si="142"/>
        <v>0</v>
      </c>
      <c r="AB387" s="140">
        <f t="shared" si="143"/>
        <v>0</v>
      </c>
    </row>
    <row r="388" spans="1:28" ht="102.75" customHeight="1">
      <c r="A388" s="21" t="s">
        <v>19</v>
      </c>
      <c r="B388" s="22">
        <v>1</v>
      </c>
      <c r="C388" s="22">
        <v>3</v>
      </c>
      <c r="D388" s="22">
        <v>1</v>
      </c>
      <c r="E388" s="22">
        <v>0</v>
      </c>
      <c r="F388" s="22">
        <v>3</v>
      </c>
      <c r="G388" s="43"/>
      <c r="H388" s="44" t="s">
        <v>312</v>
      </c>
      <c r="I388" s="43" t="s">
        <v>28</v>
      </c>
      <c r="J388" s="129">
        <f>J386/J9*100</f>
        <v>0.5</v>
      </c>
      <c r="K388" s="129">
        <f>K386/K8*100</f>
        <v>0.2</v>
      </c>
      <c r="L388" s="129">
        <f>L386/L9*100</f>
        <v>0.3</v>
      </c>
      <c r="M388" s="77">
        <v>0.3</v>
      </c>
      <c r="N388" s="77">
        <v>0.2</v>
      </c>
      <c r="O388" s="77">
        <v>0.2</v>
      </c>
      <c r="P388" s="314">
        <f>P386/P9*100</f>
        <v>0.6</v>
      </c>
      <c r="Q388" s="263">
        <v>0.2</v>
      </c>
      <c r="R388" s="263">
        <v>0.2</v>
      </c>
      <c r="S388" s="263">
        <v>0.2</v>
      </c>
      <c r="T388" s="263">
        <f>T386/T9*100</f>
        <v>0.2</v>
      </c>
      <c r="U388" s="263">
        <v>0.2</v>
      </c>
      <c r="V388" s="263">
        <v>0.2</v>
      </c>
      <c r="W388" s="129">
        <v>0.5</v>
      </c>
      <c r="X388" s="43">
        <v>2024</v>
      </c>
      <c r="Y388" s="140">
        <f t="shared" si="140"/>
        <v>0.4</v>
      </c>
      <c r="Z388" s="141">
        <f t="shared" si="141"/>
        <v>0</v>
      </c>
      <c r="AA388" s="140">
        <f t="shared" si="142"/>
        <v>0</v>
      </c>
      <c r="AB388" s="140">
        <f t="shared" si="143"/>
        <v>0</v>
      </c>
    </row>
    <row r="389" spans="1:28" s="2" customFormat="1" ht="38.25">
      <c r="A389" s="160" t="s">
        <v>19</v>
      </c>
      <c r="B389" s="34">
        <v>1</v>
      </c>
      <c r="C389" s="34">
        <v>3</v>
      </c>
      <c r="D389" s="34">
        <v>2</v>
      </c>
      <c r="E389" s="34">
        <v>0</v>
      </c>
      <c r="F389" s="34">
        <v>0</v>
      </c>
      <c r="G389" s="34"/>
      <c r="H389" s="35" t="s">
        <v>313</v>
      </c>
      <c r="I389" s="34" t="s">
        <v>21</v>
      </c>
      <c r="J389" s="81">
        <f aca="true" t="shared" si="146" ref="J389:V389">J390+J391</f>
        <v>9327.7</v>
      </c>
      <c r="K389" s="81">
        <f t="shared" si="146"/>
        <v>9337.7</v>
      </c>
      <c r="L389" s="81">
        <f t="shared" si="146"/>
        <v>20921.8</v>
      </c>
      <c r="M389" s="82">
        <f t="shared" si="146"/>
        <v>15329.3</v>
      </c>
      <c r="N389" s="82">
        <v>15891.8</v>
      </c>
      <c r="O389" s="82">
        <v>12845</v>
      </c>
      <c r="P389" s="296">
        <f t="shared" si="146"/>
        <v>15247.7</v>
      </c>
      <c r="Q389" s="296">
        <v>17478.9</v>
      </c>
      <c r="R389" s="296">
        <f t="shared" si="146"/>
        <v>17478.9</v>
      </c>
      <c r="S389" s="296">
        <v>17311.3</v>
      </c>
      <c r="T389" s="296">
        <f t="shared" si="146"/>
        <v>17311.3</v>
      </c>
      <c r="U389" s="296">
        <v>2115</v>
      </c>
      <c r="V389" s="296">
        <f t="shared" si="146"/>
        <v>2115</v>
      </c>
      <c r="W389" s="81">
        <f>J389+K389+L389+M389+N389+P389+R389+T389+V389</f>
        <v>122961.2</v>
      </c>
      <c r="X389" s="34">
        <v>2024</v>
      </c>
      <c r="Y389" s="140">
        <f t="shared" si="140"/>
        <v>2402.7</v>
      </c>
      <c r="Z389" s="141">
        <f t="shared" si="141"/>
        <v>0</v>
      </c>
      <c r="AA389" s="140">
        <f t="shared" si="142"/>
        <v>0</v>
      </c>
      <c r="AB389" s="140">
        <f t="shared" si="143"/>
        <v>0</v>
      </c>
    </row>
    <row r="390" spans="1:28" s="2" customFormat="1" ht="12.75">
      <c r="A390" s="21" t="s">
        <v>19</v>
      </c>
      <c r="B390" s="22">
        <v>1</v>
      </c>
      <c r="C390" s="22">
        <v>3</v>
      </c>
      <c r="D390" s="22">
        <v>2</v>
      </c>
      <c r="E390" s="22">
        <v>0</v>
      </c>
      <c r="F390" s="22">
        <v>0</v>
      </c>
      <c r="G390" s="22">
        <v>3</v>
      </c>
      <c r="H390" s="26" t="s">
        <v>22</v>
      </c>
      <c r="I390" s="22" t="s">
        <v>21</v>
      </c>
      <c r="J390" s="138">
        <f aca="true" t="shared" si="147" ref="J390:M391">J397</f>
        <v>9327.7</v>
      </c>
      <c r="K390" s="138">
        <f t="shared" si="147"/>
        <v>9146.4</v>
      </c>
      <c r="L390" s="138">
        <f t="shared" si="147"/>
        <v>20785.1</v>
      </c>
      <c r="M390" s="91">
        <f t="shared" si="147"/>
        <v>15306.3</v>
      </c>
      <c r="N390" s="91">
        <v>12497</v>
      </c>
      <c r="O390" s="91">
        <v>12845</v>
      </c>
      <c r="P390" s="262">
        <f aca="true" t="shared" si="148" ref="P390:V391">P397</f>
        <v>15247.7</v>
      </c>
      <c r="Q390" s="262">
        <v>17478.9</v>
      </c>
      <c r="R390" s="262">
        <f t="shared" si="148"/>
        <v>17478.9</v>
      </c>
      <c r="S390" s="262">
        <v>17311.3</v>
      </c>
      <c r="T390" s="262">
        <f t="shared" si="148"/>
        <v>17311.3</v>
      </c>
      <c r="U390" s="262">
        <v>2115</v>
      </c>
      <c r="V390" s="262">
        <f t="shared" si="148"/>
        <v>2115</v>
      </c>
      <c r="W390" s="138">
        <f>J390+K390+L390+M390+N390+P390+R390+T390+V390</f>
        <v>119215.4</v>
      </c>
      <c r="X390" s="22">
        <v>2024</v>
      </c>
      <c r="Y390" s="140">
        <f t="shared" si="140"/>
        <v>2402.7</v>
      </c>
      <c r="Z390" s="141">
        <f t="shared" si="141"/>
        <v>0</v>
      </c>
      <c r="AA390" s="140">
        <f t="shared" si="142"/>
        <v>0</v>
      </c>
      <c r="AB390" s="140">
        <f t="shared" si="143"/>
        <v>0</v>
      </c>
    </row>
    <row r="391" spans="1:28" s="2" customFormat="1" ht="12.75">
      <c r="A391" s="21" t="s">
        <v>19</v>
      </c>
      <c r="B391" s="22">
        <v>1</v>
      </c>
      <c r="C391" s="22">
        <v>3</v>
      </c>
      <c r="D391" s="22">
        <v>2</v>
      </c>
      <c r="E391" s="22">
        <v>0</v>
      </c>
      <c r="F391" s="22">
        <v>0</v>
      </c>
      <c r="G391" s="22">
        <v>2</v>
      </c>
      <c r="H391" s="26" t="s">
        <v>23</v>
      </c>
      <c r="I391" s="22" t="s">
        <v>21</v>
      </c>
      <c r="J391" s="138">
        <f t="shared" si="147"/>
        <v>0</v>
      </c>
      <c r="K391" s="138">
        <f t="shared" si="147"/>
        <v>191.3</v>
      </c>
      <c r="L391" s="138">
        <f t="shared" si="147"/>
        <v>136.7</v>
      </c>
      <c r="M391" s="91">
        <f>M398</f>
        <v>23</v>
      </c>
      <c r="N391" s="91">
        <v>3394.8</v>
      </c>
      <c r="O391" s="91">
        <v>0</v>
      </c>
      <c r="P391" s="262">
        <f t="shared" si="148"/>
        <v>0</v>
      </c>
      <c r="Q391" s="262">
        <v>0</v>
      </c>
      <c r="R391" s="262">
        <f t="shared" si="148"/>
        <v>0</v>
      </c>
      <c r="S391" s="262">
        <v>0</v>
      </c>
      <c r="T391" s="262">
        <f t="shared" si="148"/>
        <v>0</v>
      </c>
      <c r="U391" s="262">
        <v>0</v>
      </c>
      <c r="V391" s="262">
        <f t="shared" si="148"/>
        <v>0</v>
      </c>
      <c r="W391" s="138">
        <f>J391+K391+L391+M391+N391+P391+R391+T391+V391</f>
        <v>3745.8</v>
      </c>
      <c r="X391" s="22">
        <v>2020</v>
      </c>
      <c r="Y391" s="140">
        <f t="shared" si="140"/>
        <v>0</v>
      </c>
      <c r="Z391" s="141">
        <f t="shared" si="141"/>
        <v>0</v>
      </c>
      <c r="AA391" s="140">
        <f t="shared" si="142"/>
        <v>0</v>
      </c>
      <c r="AB391" s="140">
        <f t="shared" si="143"/>
        <v>0</v>
      </c>
    </row>
    <row r="392" spans="1:28" ht="52.5" customHeight="1">
      <c r="A392" s="21" t="s">
        <v>19</v>
      </c>
      <c r="B392" s="22">
        <v>1</v>
      </c>
      <c r="C392" s="22">
        <v>3</v>
      </c>
      <c r="D392" s="22">
        <v>2</v>
      </c>
      <c r="E392" s="22">
        <v>0</v>
      </c>
      <c r="F392" s="22">
        <v>0</v>
      </c>
      <c r="G392" s="43"/>
      <c r="H392" s="44" t="s">
        <v>314</v>
      </c>
      <c r="I392" s="43" t="s">
        <v>28</v>
      </c>
      <c r="J392" s="120">
        <v>22.7</v>
      </c>
      <c r="K392" s="120">
        <v>23.9</v>
      </c>
      <c r="L392" s="120">
        <v>25</v>
      </c>
      <c r="M392" s="72">
        <v>47.7</v>
      </c>
      <c r="N392" s="72">
        <v>67</v>
      </c>
      <c r="O392" s="72">
        <v>90.9</v>
      </c>
      <c r="P392" s="264">
        <v>90.9</v>
      </c>
      <c r="Q392" s="264">
        <v>92</v>
      </c>
      <c r="R392" s="264">
        <v>92</v>
      </c>
      <c r="S392" s="264">
        <v>93.2</v>
      </c>
      <c r="T392" s="264">
        <v>93.2</v>
      </c>
      <c r="U392" s="264">
        <v>94.3</v>
      </c>
      <c r="V392" s="264">
        <v>94.3</v>
      </c>
      <c r="W392" s="129">
        <v>94.3</v>
      </c>
      <c r="X392" s="43">
        <v>2024</v>
      </c>
      <c r="Y392" s="140">
        <f t="shared" si="140"/>
        <v>0</v>
      </c>
      <c r="Z392" s="141">
        <f t="shared" si="141"/>
        <v>0</v>
      </c>
      <c r="AA392" s="140">
        <f t="shared" si="142"/>
        <v>0</v>
      </c>
      <c r="AB392" s="140">
        <f t="shared" si="143"/>
        <v>0</v>
      </c>
    </row>
    <row r="393" spans="1:28" ht="38.25">
      <c r="A393" s="21" t="s">
        <v>19</v>
      </c>
      <c r="B393" s="22">
        <v>1</v>
      </c>
      <c r="C393" s="22">
        <v>3</v>
      </c>
      <c r="D393" s="22">
        <v>2</v>
      </c>
      <c r="E393" s="22">
        <v>0</v>
      </c>
      <c r="F393" s="22">
        <v>0</v>
      </c>
      <c r="G393" s="252"/>
      <c r="H393" s="253" t="s">
        <v>315</v>
      </c>
      <c r="I393" s="252" t="s">
        <v>57</v>
      </c>
      <c r="J393" s="266">
        <v>61</v>
      </c>
      <c r="K393" s="266">
        <v>46</v>
      </c>
      <c r="L393" s="266">
        <v>33</v>
      </c>
      <c r="M393" s="267">
        <v>32</v>
      </c>
      <c r="N393" s="267">
        <v>26</v>
      </c>
      <c r="O393" s="315">
        <v>21</v>
      </c>
      <c r="P393" s="316">
        <v>28</v>
      </c>
      <c r="Q393" s="268">
        <v>20</v>
      </c>
      <c r="R393" s="268">
        <v>20</v>
      </c>
      <c r="S393" s="268">
        <v>17</v>
      </c>
      <c r="T393" s="268">
        <v>17</v>
      </c>
      <c r="U393" s="268">
        <v>4</v>
      </c>
      <c r="V393" s="268">
        <v>4</v>
      </c>
      <c r="W393" s="266">
        <f>J393+K393+L393+M393+N393+P393+R393+T393+V393</f>
        <v>267</v>
      </c>
      <c r="X393" s="252">
        <v>2024</v>
      </c>
      <c r="Y393" s="140">
        <f t="shared" si="140"/>
        <v>7</v>
      </c>
      <c r="Z393" s="141">
        <f t="shared" si="141"/>
        <v>0</v>
      </c>
      <c r="AA393" s="140">
        <f t="shared" si="142"/>
        <v>0</v>
      </c>
      <c r="AB393" s="140">
        <f t="shared" si="143"/>
        <v>0</v>
      </c>
    </row>
    <row r="394" spans="1:28" ht="51">
      <c r="A394" s="36" t="s">
        <v>19</v>
      </c>
      <c r="B394" s="37">
        <v>1</v>
      </c>
      <c r="C394" s="37">
        <v>3</v>
      </c>
      <c r="D394" s="37">
        <v>2</v>
      </c>
      <c r="E394" s="37">
        <v>0</v>
      </c>
      <c r="F394" s="37">
        <v>1</v>
      </c>
      <c r="G394" s="38"/>
      <c r="H394" s="39" t="s">
        <v>316</v>
      </c>
      <c r="I394" s="38" t="s">
        <v>43</v>
      </c>
      <c r="J394" s="87" t="s">
        <v>44</v>
      </c>
      <c r="K394" s="87" t="s">
        <v>44</v>
      </c>
      <c r="L394" s="88" t="s">
        <v>44</v>
      </c>
      <c r="M394" s="125" t="s">
        <v>44</v>
      </c>
      <c r="N394" s="125" t="s">
        <v>44</v>
      </c>
      <c r="O394" s="125" t="s">
        <v>44</v>
      </c>
      <c r="P394" s="265" t="s">
        <v>44</v>
      </c>
      <c r="Q394" s="265" t="s">
        <v>44</v>
      </c>
      <c r="R394" s="265" t="s">
        <v>44</v>
      </c>
      <c r="S394" s="265" t="s">
        <v>44</v>
      </c>
      <c r="T394" s="265" t="s">
        <v>44</v>
      </c>
      <c r="U394" s="265" t="s">
        <v>44</v>
      </c>
      <c r="V394" s="265" t="s">
        <v>44</v>
      </c>
      <c r="W394" s="87" t="s">
        <v>44</v>
      </c>
      <c r="X394" s="38">
        <v>2024</v>
      </c>
      <c r="Y394" s="140"/>
      <c r="Z394" s="141"/>
      <c r="AA394" s="140"/>
      <c r="AB394" s="140"/>
    </row>
    <row r="395" spans="1:28" ht="63.75">
      <c r="A395" s="21" t="s">
        <v>19</v>
      </c>
      <c r="B395" s="22">
        <v>1</v>
      </c>
      <c r="C395" s="22">
        <v>3</v>
      </c>
      <c r="D395" s="22">
        <v>2</v>
      </c>
      <c r="E395" s="22">
        <v>0</v>
      </c>
      <c r="F395" s="22">
        <v>1</v>
      </c>
      <c r="G395" s="43"/>
      <c r="H395" s="44" t="s">
        <v>317</v>
      </c>
      <c r="I395" s="43" t="s">
        <v>57</v>
      </c>
      <c r="J395" s="131">
        <v>1</v>
      </c>
      <c r="K395" s="131">
        <v>1</v>
      </c>
      <c r="L395" s="131">
        <v>1</v>
      </c>
      <c r="M395" s="95">
        <v>1</v>
      </c>
      <c r="N395" s="95">
        <v>1</v>
      </c>
      <c r="O395" s="95">
        <v>1</v>
      </c>
      <c r="P395" s="270">
        <v>1</v>
      </c>
      <c r="Q395" s="270">
        <v>1</v>
      </c>
      <c r="R395" s="270">
        <v>1</v>
      </c>
      <c r="S395" s="270">
        <v>1</v>
      </c>
      <c r="T395" s="270">
        <v>1</v>
      </c>
      <c r="U395" s="270">
        <v>1</v>
      </c>
      <c r="V395" s="270">
        <v>1</v>
      </c>
      <c r="W395" s="131">
        <f>J395+K395+L395+M395+N395+P395+R395+T395+V395</f>
        <v>9</v>
      </c>
      <c r="X395" s="43">
        <v>2024</v>
      </c>
      <c r="Y395" s="140">
        <f aca="true" t="shared" si="149" ref="Y395:Y412">P395-O395</f>
        <v>0</v>
      </c>
      <c r="Z395" s="141">
        <f aca="true" t="shared" si="150" ref="Z395:Z412">R395-Q395</f>
        <v>0</v>
      </c>
      <c r="AA395" s="140">
        <f aca="true" t="shared" si="151" ref="AA395:AA412">T395-S395</f>
        <v>0</v>
      </c>
      <c r="AB395" s="140">
        <f aca="true" t="shared" si="152" ref="AB395:AB412">V395-U395</f>
        <v>0</v>
      </c>
    </row>
    <row r="396" spans="1:28" s="2" customFormat="1" ht="51">
      <c r="A396" s="36" t="s">
        <v>19</v>
      </c>
      <c r="B396" s="37">
        <v>1</v>
      </c>
      <c r="C396" s="37">
        <v>3</v>
      </c>
      <c r="D396" s="37">
        <v>2</v>
      </c>
      <c r="E396" s="37">
        <v>0</v>
      </c>
      <c r="F396" s="37">
        <v>2</v>
      </c>
      <c r="G396" s="37"/>
      <c r="H396" s="40" t="s">
        <v>318</v>
      </c>
      <c r="I396" s="37" t="s">
        <v>21</v>
      </c>
      <c r="J396" s="88">
        <f aca="true" t="shared" si="153" ref="J396:V396">J397+J398</f>
        <v>9327.7</v>
      </c>
      <c r="K396" s="88">
        <f t="shared" si="153"/>
        <v>9337.7</v>
      </c>
      <c r="L396" s="88">
        <f t="shared" si="153"/>
        <v>20921.8</v>
      </c>
      <c r="M396" s="89">
        <f t="shared" si="153"/>
        <v>15329.3</v>
      </c>
      <c r="N396" s="89">
        <v>15891.8</v>
      </c>
      <c r="O396" s="89">
        <v>12845</v>
      </c>
      <c r="P396" s="301">
        <f t="shared" si="153"/>
        <v>15247.7</v>
      </c>
      <c r="Q396" s="269">
        <v>17478.9</v>
      </c>
      <c r="R396" s="269">
        <f t="shared" si="153"/>
        <v>17478.9</v>
      </c>
      <c r="S396" s="269">
        <v>17311.3</v>
      </c>
      <c r="T396" s="269">
        <f t="shared" si="153"/>
        <v>17311.3</v>
      </c>
      <c r="U396" s="269">
        <v>2115</v>
      </c>
      <c r="V396" s="269">
        <f t="shared" si="153"/>
        <v>2115</v>
      </c>
      <c r="W396" s="88">
        <f>J396+K396+L396+M396+N396+P396+R396+T396+V396</f>
        <v>122961.2</v>
      </c>
      <c r="X396" s="37">
        <v>2024</v>
      </c>
      <c r="Y396" s="140">
        <f t="shared" si="149"/>
        <v>2402.7</v>
      </c>
      <c r="Z396" s="141">
        <f t="shared" si="150"/>
        <v>0</v>
      </c>
      <c r="AA396" s="140">
        <f t="shared" si="151"/>
        <v>0</v>
      </c>
      <c r="AB396" s="140">
        <f t="shared" si="152"/>
        <v>0</v>
      </c>
    </row>
    <row r="397" spans="1:28" s="2" customFormat="1" ht="12.75">
      <c r="A397" s="21" t="s">
        <v>19</v>
      </c>
      <c r="B397" s="22">
        <v>1</v>
      </c>
      <c r="C397" s="22">
        <v>3</v>
      </c>
      <c r="D397" s="22">
        <v>2</v>
      </c>
      <c r="E397" s="22">
        <v>0</v>
      </c>
      <c r="F397" s="22">
        <v>2</v>
      </c>
      <c r="G397" s="22">
        <v>3</v>
      </c>
      <c r="H397" s="26" t="s">
        <v>22</v>
      </c>
      <c r="I397" s="22" t="s">
        <v>21</v>
      </c>
      <c r="J397" s="138">
        <f>950+50+6500+499.9+1500-267.2+55+40</f>
        <v>9327.7</v>
      </c>
      <c r="K397" s="138">
        <v>9146.4</v>
      </c>
      <c r="L397" s="138">
        <f>20921.857-136.8</f>
        <v>20785.1</v>
      </c>
      <c r="M397" s="91">
        <v>15306.3</v>
      </c>
      <c r="N397" s="91">
        <v>12497</v>
      </c>
      <c r="O397" s="91">
        <v>12845</v>
      </c>
      <c r="P397" s="302">
        <v>15247.7</v>
      </c>
      <c r="Q397" s="262">
        <v>17478.9</v>
      </c>
      <c r="R397" s="262">
        <v>17478.9</v>
      </c>
      <c r="S397" s="262">
        <v>17311.3</v>
      </c>
      <c r="T397" s="262">
        <v>17311.3</v>
      </c>
      <c r="U397" s="262">
        <v>2115</v>
      </c>
      <c r="V397" s="262">
        <v>2115</v>
      </c>
      <c r="W397" s="138">
        <f>J397+K397+L397+M397+N397+P397+R397+T397+V397</f>
        <v>119215.4</v>
      </c>
      <c r="X397" s="22">
        <v>2024</v>
      </c>
      <c r="Y397" s="140">
        <f t="shared" si="149"/>
        <v>2402.7</v>
      </c>
      <c r="Z397" s="141">
        <f t="shared" si="150"/>
        <v>0</v>
      </c>
      <c r="AA397" s="140">
        <f t="shared" si="151"/>
        <v>0</v>
      </c>
      <c r="AB397" s="140">
        <f t="shared" si="152"/>
        <v>0</v>
      </c>
    </row>
    <row r="398" spans="1:28" s="2" customFormat="1" ht="12.75">
      <c r="A398" s="21" t="s">
        <v>19</v>
      </c>
      <c r="B398" s="22">
        <v>1</v>
      </c>
      <c r="C398" s="22">
        <v>3</v>
      </c>
      <c r="D398" s="22">
        <v>2</v>
      </c>
      <c r="E398" s="22">
        <v>0</v>
      </c>
      <c r="F398" s="22">
        <v>2</v>
      </c>
      <c r="G398" s="22">
        <v>2</v>
      </c>
      <c r="H398" s="26" t="s">
        <v>23</v>
      </c>
      <c r="I398" s="22" t="s">
        <v>21</v>
      </c>
      <c r="J398" s="138">
        <v>0</v>
      </c>
      <c r="K398" s="138">
        <v>191.3</v>
      </c>
      <c r="L398" s="138">
        <v>136.7</v>
      </c>
      <c r="M398" s="91">
        <v>23</v>
      </c>
      <c r="N398" s="91">
        <v>3394.8</v>
      </c>
      <c r="O398" s="91">
        <v>0</v>
      </c>
      <c r="P398" s="262">
        <v>0</v>
      </c>
      <c r="Q398" s="262">
        <v>0</v>
      </c>
      <c r="R398" s="262">
        <v>0</v>
      </c>
      <c r="S398" s="262">
        <v>0</v>
      </c>
      <c r="T398" s="262">
        <v>0</v>
      </c>
      <c r="U398" s="262">
        <v>0</v>
      </c>
      <c r="V398" s="262">
        <v>0</v>
      </c>
      <c r="W398" s="138">
        <f>SUM(J398:V398)</f>
        <v>3745.8</v>
      </c>
      <c r="X398" s="22">
        <v>2020</v>
      </c>
      <c r="Y398" s="140">
        <f t="shared" si="149"/>
        <v>0</v>
      </c>
      <c r="Z398" s="141">
        <f t="shared" si="150"/>
        <v>0</v>
      </c>
      <c r="AA398" s="140">
        <f t="shared" si="151"/>
        <v>0</v>
      </c>
      <c r="AB398" s="140">
        <f t="shared" si="152"/>
        <v>0</v>
      </c>
    </row>
    <row r="399" spans="1:28" ht="25.5">
      <c r="A399" s="21" t="s">
        <v>19</v>
      </c>
      <c r="B399" s="22">
        <v>1</v>
      </c>
      <c r="C399" s="22">
        <v>3</v>
      </c>
      <c r="D399" s="22">
        <v>2</v>
      </c>
      <c r="E399" s="22">
        <v>0</v>
      </c>
      <c r="F399" s="22">
        <v>2</v>
      </c>
      <c r="G399" s="43"/>
      <c r="H399" s="44" t="s">
        <v>319</v>
      </c>
      <c r="I399" s="255" t="s">
        <v>57</v>
      </c>
      <c r="J399" s="317">
        <f>195+117</f>
        <v>312</v>
      </c>
      <c r="K399" s="317">
        <f>9+88</f>
        <v>97</v>
      </c>
      <c r="L399" s="266">
        <v>443</v>
      </c>
      <c r="M399" s="318">
        <v>167</v>
      </c>
      <c r="N399" s="318">
        <v>10</v>
      </c>
      <c r="O399" s="318">
        <v>0</v>
      </c>
      <c r="P399" s="319">
        <v>13</v>
      </c>
      <c r="Q399" s="319">
        <v>276</v>
      </c>
      <c r="R399" s="319">
        <v>276</v>
      </c>
      <c r="S399" s="319">
        <v>117</v>
      </c>
      <c r="T399" s="319">
        <v>117</v>
      </c>
      <c r="U399" s="319">
        <v>117</v>
      </c>
      <c r="V399" s="319">
        <v>117</v>
      </c>
      <c r="W399" s="131">
        <f aca="true" t="shared" si="154" ref="W399:W406">J399+K399+L399+M399+N399+P399+R399+T399+V399</f>
        <v>1552</v>
      </c>
      <c r="X399" s="288">
        <v>2024</v>
      </c>
      <c r="Y399" s="140">
        <f t="shared" si="149"/>
        <v>13</v>
      </c>
      <c r="Z399" s="141">
        <f t="shared" si="150"/>
        <v>0</v>
      </c>
      <c r="AA399" s="140">
        <f t="shared" si="151"/>
        <v>0</v>
      </c>
      <c r="AB399" s="140">
        <f t="shared" si="152"/>
        <v>0</v>
      </c>
    </row>
    <row r="400" spans="1:28" ht="51">
      <c r="A400" s="21" t="s">
        <v>19</v>
      </c>
      <c r="B400" s="22">
        <v>1</v>
      </c>
      <c r="C400" s="22">
        <v>3</v>
      </c>
      <c r="D400" s="22">
        <v>2</v>
      </c>
      <c r="E400" s="22">
        <v>0</v>
      </c>
      <c r="F400" s="22">
        <v>2</v>
      </c>
      <c r="G400" s="43"/>
      <c r="H400" s="44" t="s">
        <v>320</v>
      </c>
      <c r="I400" s="255" t="s">
        <v>57</v>
      </c>
      <c r="J400" s="317">
        <v>180</v>
      </c>
      <c r="K400" s="317">
        <v>12</v>
      </c>
      <c r="L400" s="266">
        <v>47</v>
      </c>
      <c r="M400" s="318">
        <v>21</v>
      </c>
      <c r="N400" s="318">
        <v>2</v>
      </c>
      <c r="O400" s="318">
        <v>0</v>
      </c>
      <c r="P400" s="319">
        <v>1</v>
      </c>
      <c r="Q400" s="319">
        <v>0</v>
      </c>
      <c r="R400" s="319">
        <v>0</v>
      </c>
      <c r="S400" s="319">
        <v>0</v>
      </c>
      <c r="T400" s="319">
        <v>0</v>
      </c>
      <c r="U400" s="319">
        <v>0</v>
      </c>
      <c r="V400" s="319">
        <v>0</v>
      </c>
      <c r="W400" s="131">
        <f t="shared" si="154"/>
        <v>263</v>
      </c>
      <c r="X400" s="288">
        <v>2022</v>
      </c>
      <c r="Y400" s="140">
        <f t="shared" si="149"/>
        <v>1</v>
      </c>
      <c r="Z400" s="141">
        <f t="shared" si="150"/>
        <v>0</v>
      </c>
      <c r="AA400" s="140">
        <f t="shared" si="151"/>
        <v>0</v>
      </c>
      <c r="AB400" s="140">
        <f t="shared" si="152"/>
        <v>0</v>
      </c>
    </row>
    <row r="401" spans="1:28" ht="25.5">
      <c r="A401" s="21" t="s">
        <v>19</v>
      </c>
      <c r="B401" s="22">
        <v>1</v>
      </c>
      <c r="C401" s="22">
        <v>3</v>
      </c>
      <c r="D401" s="22">
        <v>2</v>
      </c>
      <c r="E401" s="22">
        <v>0</v>
      </c>
      <c r="F401" s="22">
        <v>2</v>
      </c>
      <c r="G401" s="43"/>
      <c r="H401" s="44" t="s">
        <v>321</v>
      </c>
      <c r="I401" s="255" t="s">
        <v>322</v>
      </c>
      <c r="J401" s="320">
        <f>3312+120</f>
        <v>3432</v>
      </c>
      <c r="K401" s="320">
        <v>2241.4</v>
      </c>
      <c r="L401" s="266">
        <f>412-20</f>
        <v>392</v>
      </c>
      <c r="M401" s="321">
        <v>1129</v>
      </c>
      <c r="N401" s="321">
        <v>0</v>
      </c>
      <c r="O401" s="321">
        <v>0</v>
      </c>
      <c r="P401" s="322">
        <v>765.2</v>
      </c>
      <c r="Q401" s="322">
        <v>350</v>
      </c>
      <c r="R401" s="322">
        <v>350</v>
      </c>
      <c r="S401" s="322">
        <v>0</v>
      </c>
      <c r="T401" s="322">
        <v>0</v>
      </c>
      <c r="U401" s="322">
        <v>0</v>
      </c>
      <c r="V401" s="322">
        <v>0</v>
      </c>
      <c r="W401" s="120">
        <f t="shared" si="154"/>
        <v>8309.6</v>
      </c>
      <c r="X401" s="288">
        <v>2022</v>
      </c>
      <c r="Y401" s="140">
        <f t="shared" si="149"/>
        <v>765.2</v>
      </c>
      <c r="Z401" s="141">
        <f t="shared" si="150"/>
        <v>0</v>
      </c>
      <c r="AA401" s="140">
        <f t="shared" si="151"/>
        <v>0</v>
      </c>
      <c r="AB401" s="140">
        <f t="shared" si="152"/>
        <v>0</v>
      </c>
    </row>
    <row r="402" spans="1:28" ht="25.5">
      <c r="A402" s="21" t="s">
        <v>19</v>
      </c>
      <c r="B402" s="22">
        <v>1</v>
      </c>
      <c r="C402" s="22">
        <v>3</v>
      </c>
      <c r="D402" s="22">
        <v>2</v>
      </c>
      <c r="E402" s="22">
        <v>0</v>
      </c>
      <c r="F402" s="22">
        <v>2</v>
      </c>
      <c r="G402" s="43"/>
      <c r="H402" s="44" t="s">
        <v>323</v>
      </c>
      <c r="I402" s="255" t="s">
        <v>322</v>
      </c>
      <c r="J402" s="320">
        <f>388+14.4</f>
        <v>402.4</v>
      </c>
      <c r="K402" s="320">
        <v>0</v>
      </c>
      <c r="L402" s="266">
        <v>1938</v>
      </c>
      <c r="M402" s="323">
        <v>900</v>
      </c>
      <c r="N402" s="323">
        <v>2656.2</v>
      </c>
      <c r="O402" s="324">
        <v>2108.3</v>
      </c>
      <c r="P402" s="325">
        <v>2838.3</v>
      </c>
      <c r="Q402" s="326">
        <v>500</v>
      </c>
      <c r="R402" s="326">
        <v>500</v>
      </c>
      <c r="S402" s="326">
        <v>500</v>
      </c>
      <c r="T402" s="326">
        <v>500</v>
      </c>
      <c r="U402" s="326">
        <v>0</v>
      </c>
      <c r="V402" s="326">
        <v>0</v>
      </c>
      <c r="W402" s="131">
        <f t="shared" si="154"/>
        <v>9735</v>
      </c>
      <c r="X402" s="288">
        <v>2023</v>
      </c>
      <c r="Y402" s="140">
        <f t="shared" si="149"/>
        <v>730</v>
      </c>
      <c r="Z402" s="141">
        <f t="shared" si="150"/>
        <v>0</v>
      </c>
      <c r="AA402" s="140">
        <f t="shared" si="151"/>
        <v>0</v>
      </c>
      <c r="AB402" s="140">
        <f t="shared" si="152"/>
        <v>0</v>
      </c>
    </row>
    <row r="403" spans="1:28" ht="63.75">
      <c r="A403" s="21" t="s">
        <v>19</v>
      </c>
      <c r="B403" s="22">
        <v>1</v>
      </c>
      <c r="C403" s="22">
        <v>3</v>
      </c>
      <c r="D403" s="22">
        <v>2</v>
      </c>
      <c r="E403" s="22">
        <v>0</v>
      </c>
      <c r="F403" s="22">
        <v>2</v>
      </c>
      <c r="G403" s="43"/>
      <c r="H403" s="44" t="s">
        <v>324</v>
      </c>
      <c r="I403" s="255" t="s">
        <v>57</v>
      </c>
      <c r="J403" s="320">
        <v>0</v>
      </c>
      <c r="K403" s="320">
        <v>0</v>
      </c>
      <c r="L403" s="266">
        <v>0</v>
      </c>
      <c r="M403" s="323">
        <v>0</v>
      </c>
      <c r="N403" s="323">
        <v>21</v>
      </c>
      <c r="O403" s="323">
        <v>15</v>
      </c>
      <c r="P403" s="326">
        <v>15</v>
      </c>
      <c r="Q403" s="326">
        <v>0</v>
      </c>
      <c r="R403" s="326">
        <v>0</v>
      </c>
      <c r="S403" s="326">
        <v>0</v>
      </c>
      <c r="T403" s="326">
        <v>0</v>
      </c>
      <c r="U403" s="326">
        <v>0</v>
      </c>
      <c r="V403" s="326">
        <v>0</v>
      </c>
      <c r="W403" s="131">
        <f t="shared" si="154"/>
        <v>36</v>
      </c>
      <c r="X403" s="288">
        <v>2021</v>
      </c>
      <c r="Y403" s="140">
        <f t="shared" si="149"/>
        <v>0</v>
      </c>
      <c r="Z403" s="141">
        <f t="shared" si="150"/>
        <v>0</v>
      </c>
      <c r="AA403" s="140">
        <f t="shared" si="151"/>
        <v>0</v>
      </c>
      <c r="AB403" s="140">
        <f t="shared" si="152"/>
        <v>0</v>
      </c>
    </row>
    <row r="404" spans="1:28" s="2" customFormat="1" ht="38.25">
      <c r="A404" s="160" t="s">
        <v>19</v>
      </c>
      <c r="B404" s="34">
        <v>1</v>
      </c>
      <c r="C404" s="34">
        <v>3</v>
      </c>
      <c r="D404" s="34">
        <v>3</v>
      </c>
      <c r="E404" s="34">
        <v>0</v>
      </c>
      <c r="F404" s="34">
        <v>0</v>
      </c>
      <c r="G404" s="34"/>
      <c r="H404" s="35" t="s">
        <v>325</v>
      </c>
      <c r="I404" s="34" t="s">
        <v>21</v>
      </c>
      <c r="J404" s="81">
        <f>J405</f>
        <v>11707.8</v>
      </c>
      <c r="K404" s="81">
        <f>K405</f>
        <v>21865.7</v>
      </c>
      <c r="L404" s="81">
        <f>L405</f>
        <v>32914.3</v>
      </c>
      <c r="M404" s="82">
        <f>M405</f>
        <v>14601.7</v>
      </c>
      <c r="N404" s="82">
        <v>17148.1</v>
      </c>
      <c r="O404" s="82">
        <v>13391.4</v>
      </c>
      <c r="P404" s="82">
        <f>P405+P406</f>
        <v>13391.4</v>
      </c>
      <c r="Q404" s="82">
        <v>0</v>
      </c>
      <c r="R404" s="82">
        <f>R405+R406</f>
        <v>0</v>
      </c>
      <c r="S404" s="82">
        <v>0</v>
      </c>
      <c r="T404" s="82">
        <f>T405+T406</f>
        <v>0</v>
      </c>
      <c r="U404" s="82">
        <v>6852.4</v>
      </c>
      <c r="V404" s="82">
        <f>V405+V406</f>
        <v>6852.4</v>
      </c>
      <c r="W404" s="81">
        <f t="shared" si="154"/>
        <v>118481.4</v>
      </c>
      <c r="X404" s="34">
        <v>2024</v>
      </c>
      <c r="Y404" s="140">
        <f t="shared" si="149"/>
        <v>0</v>
      </c>
      <c r="Z404" s="141">
        <f t="shared" si="150"/>
        <v>0</v>
      </c>
      <c r="AA404" s="140">
        <f t="shared" si="151"/>
        <v>0</v>
      </c>
      <c r="AB404" s="140">
        <f t="shared" si="152"/>
        <v>0</v>
      </c>
    </row>
    <row r="405" spans="1:28" s="2" customFormat="1" ht="12.75">
      <c r="A405" s="21" t="s">
        <v>19</v>
      </c>
      <c r="B405" s="22">
        <v>1</v>
      </c>
      <c r="C405" s="22">
        <v>3</v>
      </c>
      <c r="D405" s="22">
        <v>3</v>
      </c>
      <c r="E405" s="22">
        <v>0</v>
      </c>
      <c r="F405" s="22">
        <v>0</v>
      </c>
      <c r="G405" s="22">
        <v>3</v>
      </c>
      <c r="H405" s="26" t="s">
        <v>22</v>
      </c>
      <c r="I405" s="22" t="s">
        <v>21</v>
      </c>
      <c r="J405" s="327">
        <f aca="true" t="shared" si="155" ref="J405:V405">J420+J416</f>
        <v>11707.8</v>
      </c>
      <c r="K405" s="327">
        <f t="shared" si="155"/>
        <v>21865.7</v>
      </c>
      <c r="L405" s="327">
        <f t="shared" si="155"/>
        <v>32914.3</v>
      </c>
      <c r="M405" s="327">
        <f t="shared" si="155"/>
        <v>14601.7</v>
      </c>
      <c r="N405" s="327">
        <v>11252</v>
      </c>
      <c r="O405" s="327">
        <v>13391.4</v>
      </c>
      <c r="P405" s="327">
        <f t="shared" si="155"/>
        <v>13391.4</v>
      </c>
      <c r="Q405" s="327">
        <v>0</v>
      </c>
      <c r="R405" s="327">
        <f t="shared" si="155"/>
        <v>0</v>
      </c>
      <c r="S405" s="327">
        <v>0</v>
      </c>
      <c r="T405" s="327">
        <f t="shared" si="155"/>
        <v>0</v>
      </c>
      <c r="U405" s="327">
        <v>6852.4</v>
      </c>
      <c r="V405" s="327">
        <f t="shared" si="155"/>
        <v>6852.4</v>
      </c>
      <c r="W405" s="64">
        <f t="shared" si="154"/>
        <v>112585.3</v>
      </c>
      <c r="X405" s="28">
        <v>2024</v>
      </c>
      <c r="Y405" s="140">
        <f t="shared" si="149"/>
        <v>0</v>
      </c>
      <c r="Z405" s="141">
        <f t="shared" si="150"/>
        <v>0</v>
      </c>
      <c r="AA405" s="140">
        <f t="shared" si="151"/>
        <v>0</v>
      </c>
      <c r="AB405" s="140">
        <f t="shared" si="152"/>
        <v>0</v>
      </c>
    </row>
    <row r="406" spans="1:28" s="2" customFormat="1" ht="12.75">
      <c r="A406" s="21" t="s">
        <v>19</v>
      </c>
      <c r="B406" s="22">
        <v>1</v>
      </c>
      <c r="C406" s="22">
        <v>3</v>
      </c>
      <c r="D406" s="22">
        <v>3</v>
      </c>
      <c r="E406" s="22">
        <v>0</v>
      </c>
      <c r="F406" s="22">
        <v>0</v>
      </c>
      <c r="G406" s="22">
        <v>2</v>
      </c>
      <c r="H406" s="26" t="s">
        <v>23</v>
      </c>
      <c r="I406" s="22" t="s">
        <v>21</v>
      </c>
      <c r="J406" s="327">
        <v>0</v>
      </c>
      <c r="K406" s="120">
        <v>0</v>
      </c>
      <c r="L406" s="120">
        <v>0</v>
      </c>
      <c r="M406" s="72">
        <v>0</v>
      </c>
      <c r="N406" s="327">
        <v>5896.1</v>
      </c>
      <c r="O406" s="328">
        <v>0</v>
      </c>
      <c r="P406" s="328">
        <v>0</v>
      </c>
      <c r="Q406" s="328">
        <v>0</v>
      </c>
      <c r="R406" s="328">
        <v>0</v>
      </c>
      <c r="S406" s="328">
        <v>0</v>
      </c>
      <c r="T406" s="328">
        <v>0</v>
      </c>
      <c r="U406" s="328">
        <v>0</v>
      </c>
      <c r="V406" s="328">
        <v>0</v>
      </c>
      <c r="W406" s="64">
        <f t="shared" si="154"/>
        <v>5896.1</v>
      </c>
      <c r="X406" s="28">
        <v>2020</v>
      </c>
      <c r="Y406" s="140">
        <f t="shared" si="149"/>
        <v>0</v>
      </c>
      <c r="Z406" s="141">
        <f t="shared" si="150"/>
        <v>0</v>
      </c>
      <c r="AA406" s="140">
        <f t="shared" si="151"/>
        <v>0</v>
      </c>
      <c r="AB406" s="140">
        <f t="shared" si="152"/>
        <v>0</v>
      </c>
    </row>
    <row r="407" spans="1:28" ht="63.75">
      <c r="A407" s="21" t="s">
        <v>19</v>
      </c>
      <c r="B407" s="22">
        <v>1</v>
      </c>
      <c r="C407" s="22">
        <v>3</v>
      </c>
      <c r="D407" s="22">
        <v>3</v>
      </c>
      <c r="E407" s="22">
        <v>0</v>
      </c>
      <c r="F407" s="22">
        <v>0</v>
      </c>
      <c r="G407" s="43"/>
      <c r="H407" s="44" t="s">
        <v>326</v>
      </c>
      <c r="I407" s="43" t="s">
        <v>28</v>
      </c>
      <c r="J407" s="120">
        <v>100</v>
      </c>
      <c r="K407" s="70">
        <v>93.5</v>
      </c>
      <c r="L407" s="70">
        <v>93.5</v>
      </c>
      <c r="M407" s="70">
        <v>94.4</v>
      </c>
      <c r="N407" s="72">
        <v>93.5</v>
      </c>
      <c r="O407" s="72">
        <v>93.5</v>
      </c>
      <c r="P407" s="72">
        <v>93.5</v>
      </c>
      <c r="Q407" s="72">
        <v>93.5</v>
      </c>
      <c r="R407" s="72">
        <v>93.5</v>
      </c>
      <c r="S407" s="72">
        <v>93.5</v>
      </c>
      <c r="T407" s="72">
        <v>93.5</v>
      </c>
      <c r="U407" s="72">
        <v>93.5</v>
      </c>
      <c r="V407" s="72">
        <v>93.5</v>
      </c>
      <c r="W407" s="43">
        <v>93.5</v>
      </c>
      <c r="X407" s="30">
        <v>2024</v>
      </c>
      <c r="Y407" s="140">
        <f t="shared" si="149"/>
        <v>0</v>
      </c>
      <c r="Z407" s="141">
        <f t="shared" si="150"/>
        <v>0</v>
      </c>
      <c r="AA407" s="140">
        <f t="shared" si="151"/>
        <v>0</v>
      </c>
      <c r="AB407" s="140">
        <f t="shared" si="152"/>
        <v>0</v>
      </c>
    </row>
    <row r="408" spans="1:28" ht="63.75">
      <c r="A408" s="21" t="s">
        <v>19</v>
      </c>
      <c r="B408" s="22">
        <v>1</v>
      </c>
      <c r="C408" s="22">
        <v>3</v>
      </c>
      <c r="D408" s="22">
        <v>3</v>
      </c>
      <c r="E408" s="22">
        <v>0</v>
      </c>
      <c r="F408" s="22">
        <v>0</v>
      </c>
      <c r="G408" s="43"/>
      <c r="H408" s="44" t="s">
        <v>327</v>
      </c>
      <c r="I408" s="43" t="s">
        <v>28</v>
      </c>
      <c r="J408" s="120">
        <v>100</v>
      </c>
      <c r="K408" s="70">
        <v>96.3</v>
      </c>
      <c r="L408" s="70">
        <v>96.3</v>
      </c>
      <c r="M408" s="120">
        <v>96.3</v>
      </c>
      <c r="N408" s="70">
        <v>96.3</v>
      </c>
      <c r="O408" s="120">
        <v>96.3</v>
      </c>
      <c r="P408" s="120">
        <v>96.3</v>
      </c>
      <c r="Q408" s="120">
        <v>96.3</v>
      </c>
      <c r="R408" s="120">
        <v>96.3</v>
      </c>
      <c r="S408" s="120">
        <v>96.3</v>
      </c>
      <c r="T408" s="120">
        <v>96.3</v>
      </c>
      <c r="U408" s="120">
        <v>96.3</v>
      </c>
      <c r="V408" s="120">
        <v>96.3</v>
      </c>
      <c r="W408" s="43">
        <v>96.3</v>
      </c>
      <c r="X408" s="30">
        <v>2024</v>
      </c>
      <c r="Y408" s="140">
        <f t="shared" si="149"/>
        <v>0</v>
      </c>
      <c r="Z408" s="141">
        <f t="shared" si="150"/>
        <v>0</v>
      </c>
      <c r="AA408" s="140">
        <f t="shared" si="151"/>
        <v>0</v>
      </c>
      <c r="AB408" s="140">
        <f t="shared" si="152"/>
        <v>0</v>
      </c>
    </row>
    <row r="409" spans="1:28" ht="51">
      <c r="A409" s="21" t="s">
        <v>19</v>
      </c>
      <c r="B409" s="22">
        <v>1</v>
      </c>
      <c r="C409" s="22">
        <v>3</v>
      </c>
      <c r="D409" s="22">
        <v>3</v>
      </c>
      <c r="E409" s="22">
        <v>0</v>
      </c>
      <c r="F409" s="22">
        <v>0</v>
      </c>
      <c r="G409" s="43"/>
      <c r="H409" s="44" t="s">
        <v>328</v>
      </c>
      <c r="I409" s="43" t="s">
        <v>28</v>
      </c>
      <c r="J409" s="120">
        <v>100</v>
      </c>
      <c r="K409" s="70">
        <v>80.7</v>
      </c>
      <c r="L409" s="70">
        <v>83.1</v>
      </c>
      <c r="M409" s="70">
        <v>88.1</v>
      </c>
      <c r="N409" s="217">
        <v>90.9</v>
      </c>
      <c r="O409" s="217">
        <v>90.9</v>
      </c>
      <c r="P409" s="217">
        <v>90.9</v>
      </c>
      <c r="Q409" s="217">
        <v>90.9</v>
      </c>
      <c r="R409" s="217">
        <v>90.9</v>
      </c>
      <c r="S409" s="217">
        <v>90.9</v>
      </c>
      <c r="T409" s="217">
        <v>90.9</v>
      </c>
      <c r="U409" s="217">
        <v>90.9</v>
      </c>
      <c r="V409" s="217">
        <v>90.9</v>
      </c>
      <c r="W409" s="70">
        <v>88.9</v>
      </c>
      <c r="X409" s="30">
        <v>2024</v>
      </c>
      <c r="Y409" s="140">
        <f t="shared" si="149"/>
        <v>0</v>
      </c>
      <c r="Z409" s="141">
        <f t="shared" si="150"/>
        <v>0</v>
      </c>
      <c r="AA409" s="140">
        <f t="shared" si="151"/>
        <v>0</v>
      </c>
      <c r="AB409" s="140">
        <f t="shared" si="152"/>
        <v>0</v>
      </c>
    </row>
    <row r="410" spans="1:28" ht="127.5">
      <c r="A410" s="21" t="s">
        <v>19</v>
      </c>
      <c r="B410" s="22">
        <v>1</v>
      </c>
      <c r="C410" s="22">
        <v>3</v>
      </c>
      <c r="D410" s="22">
        <v>3</v>
      </c>
      <c r="E410" s="22">
        <v>0</v>
      </c>
      <c r="F410" s="22">
        <v>0</v>
      </c>
      <c r="G410" s="43"/>
      <c r="H410" s="44" t="s">
        <v>329</v>
      </c>
      <c r="I410" s="43" t="s">
        <v>28</v>
      </c>
      <c r="J410" s="120">
        <v>51.5</v>
      </c>
      <c r="K410" s="70">
        <v>36.7</v>
      </c>
      <c r="L410" s="70">
        <v>42.4</v>
      </c>
      <c r="M410" s="70">
        <v>47.5</v>
      </c>
      <c r="N410" s="217">
        <v>58.3</v>
      </c>
      <c r="O410" s="217">
        <v>61.2</v>
      </c>
      <c r="P410" s="217">
        <v>61.9</v>
      </c>
      <c r="Q410" s="217">
        <v>61.2</v>
      </c>
      <c r="R410" s="217">
        <v>61.9</v>
      </c>
      <c r="S410" s="217">
        <v>61.2</v>
      </c>
      <c r="T410" s="217">
        <v>61.9</v>
      </c>
      <c r="U410" s="217">
        <v>62.6</v>
      </c>
      <c r="V410" s="217">
        <v>63.3</v>
      </c>
      <c r="W410" s="70">
        <f>(J410+K410+L410+M410+N410+P410+R410+T410+V410)/9</f>
        <v>53.9</v>
      </c>
      <c r="X410" s="30">
        <v>2024</v>
      </c>
      <c r="Y410" s="140">
        <f t="shared" si="149"/>
        <v>0.7</v>
      </c>
      <c r="Z410" s="141">
        <f t="shared" si="150"/>
        <v>0.7</v>
      </c>
      <c r="AA410" s="140">
        <f t="shared" si="151"/>
        <v>0.7</v>
      </c>
      <c r="AB410" s="140">
        <f t="shared" si="152"/>
        <v>0.7</v>
      </c>
    </row>
    <row r="411" spans="1:28" ht="102">
      <c r="A411" s="21" t="s">
        <v>19</v>
      </c>
      <c r="B411" s="22">
        <v>1</v>
      </c>
      <c r="C411" s="22">
        <v>3</v>
      </c>
      <c r="D411" s="22">
        <v>3</v>
      </c>
      <c r="E411" s="22">
        <v>0</v>
      </c>
      <c r="F411" s="22">
        <v>0</v>
      </c>
      <c r="G411" s="43"/>
      <c r="H411" s="44" t="s">
        <v>330</v>
      </c>
      <c r="I411" s="43" t="s">
        <v>28</v>
      </c>
      <c r="J411" s="120">
        <v>58.4</v>
      </c>
      <c r="K411" s="120">
        <v>18.5</v>
      </c>
      <c r="L411" s="120">
        <v>34.3</v>
      </c>
      <c r="M411" s="72">
        <v>38</v>
      </c>
      <c r="N411" s="120">
        <v>38</v>
      </c>
      <c r="O411" s="120">
        <v>38</v>
      </c>
      <c r="P411" s="120">
        <v>38</v>
      </c>
      <c r="Q411" s="120">
        <v>38</v>
      </c>
      <c r="R411" s="120">
        <v>38</v>
      </c>
      <c r="S411" s="120">
        <v>38</v>
      </c>
      <c r="T411" s="120">
        <v>38</v>
      </c>
      <c r="U411" s="120">
        <v>38</v>
      </c>
      <c r="V411" s="120">
        <v>38</v>
      </c>
      <c r="W411" s="70">
        <f>(J411+K411+L411+M411+N411+P411+R411+T411+V411)/9</f>
        <v>37.7</v>
      </c>
      <c r="X411" s="30">
        <v>2024</v>
      </c>
      <c r="Y411" s="140">
        <f t="shared" si="149"/>
        <v>0</v>
      </c>
      <c r="Z411" s="141">
        <f t="shared" si="150"/>
        <v>0</v>
      </c>
      <c r="AA411" s="140">
        <f t="shared" si="151"/>
        <v>0</v>
      </c>
      <c r="AB411" s="140">
        <f t="shared" si="152"/>
        <v>0</v>
      </c>
    </row>
    <row r="412" spans="1:28" ht="76.5">
      <c r="A412" s="21" t="s">
        <v>19</v>
      </c>
      <c r="B412" s="22">
        <v>1</v>
      </c>
      <c r="C412" s="22">
        <v>3</v>
      </c>
      <c r="D412" s="22">
        <v>3</v>
      </c>
      <c r="E412" s="22">
        <v>0</v>
      </c>
      <c r="F412" s="22">
        <v>0</v>
      </c>
      <c r="G412" s="43"/>
      <c r="H412" s="44" t="s">
        <v>331</v>
      </c>
      <c r="I412" s="43" t="s">
        <v>28</v>
      </c>
      <c r="J412" s="120">
        <v>0</v>
      </c>
      <c r="K412" s="120">
        <v>0</v>
      </c>
      <c r="L412" s="120">
        <v>100</v>
      </c>
      <c r="M412" s="72">
        <v>100</v>
      </c>
      <c r="N412" s="72">
        <v>100</v>
      </c>
      <c r="O412" s="72">
        <v>100</v>
      </c>
      <c r="P412" s="72">
        <v>100</v>
      </c>
      <c r="Q412" s="72">
        <v>100</v>
      </c>
      <c r="R412" s="72">
        <v>100</v>
      </c>
      <c r="S412" s="72">
        <v>100</v>
      </c>
      <c r="T412" s="72">
        <v>100</v>
      </c>
      <c r="U412" s="72">
        <v>100</v>
      </c>
      <c r="V412" s="72">
        <v>100</v>
      </c>
      <c r="W412" s="70">
        <v>100</v>
      </c>
      <c r="X412" s="30">
        <v>2024</v>
      </c>
      <c r="Y412" s="140">
        <f t="shared" si="149"/>
        <v>0</v>
      </c>
      <c r="Z412" s="141">
        <f t="shared" si="150"/>
        <v>0</v>
      </c>
      <c r="AA412" s="140">
        <f t="shared" si="151"/>
        <v>0</v>
      </c>
      <c r="AB412" s="140">
        <f t="shared" si="152"/>
        <v>0</v>
      </c>
    </row>
    <row r="413" spans="1:28" ht="63.75">
      <c r="A413" s="36" t="s">
        <v>19</v>
      </c>
      <c r="B413" s="37">
        <v>1</v>
      </c>
      <c r="C413" s="37">
        <v>3</v>
      </c>
      <c r="D413" s="37">
        <v>3</v>
      </c>
      <c r="E413" s="37">
        <v>0</v>
      </c>
      <c r="F413" s="37">
        <v>1</v>
      </c>
      <c r="G413" s="38"/>
      <c r="H413" s="39" t="s">
        <v>332</v>
      </c>
      <c r="I413" s="38" t="s">
        <v>43</v>
      </c>
      <c r="J413" s="87" t="s">
        <v>44</v>
      </c>
      <c r="K413" s="87" t="s">
        <v>44</v>
      </c>
      <c r="L413" s="87" t="s">
        <v>44</v>
      </c>
      <c r="M413" s="125" t="s">
        <v>44</v>
      </c>
      <c r="N413" s="125" t="s">
        <v>44</v>
      </c>
      <c r="O413" s="125" t="s">
        <v>44</v>
      </c>
      <c r="P413" s="125" t="s">
        <v>44</v>
      </c>
      <c r="Q413" s="125" t="s">
        <v>44</v>
      </c>
      <c r="R413" s="125" t="s">
        <v>44</v>
      </c>
      <c r="S413" s="125" t="s">
        <v>44</v>
      </c>
      <c r="T413" s="125" t="s">
        <v>44</v>
      </c>
      <c r="U413" s="125" t="s">
        <v>44</v>
      </c>
      <c r="V413" s="125" t="s">
        <v>44</v>
      </c>
      <c r="W413" s="125" t="s">
        <v>44</v>
      </c>
      <c r="X413" s="38">
        <v>2024</v>
      </c>
      <c r="Y413" s="140"/>
      <c r="Z413" s="141"/>
      <c r="AA413" s="140"/>
      <c r="AB413" s="140"/>
    </row>
    <row r="414" spans="1:28" ht="25.5">
      <c r="A414" s="21" t="s">
        <v>19</v>
      </c>
      <c r="B414" s="22">
        <v>1</v>
      </c>
      <c r="C414" s="22">
        <v>3</v>
      </c>
      <c r="D414" s="22">
        <v>3</v>
      </c>
      <c r="E414" s="22">
        <v>0</v>
      </c>
      <c r="F414" s="22">
        <v>1</v>
      </c>
      <c r="G414" s="43"/>
      <c r="H414" s="44" t="s">
        <v>333</v>
      </c>
      <c r="I414" s="43" t="s">
        <v>57</v>
      </c>
      <c r="J414" s="131">
        <v>3</v>
      </c>
      <c r="K414" s="93">
        <v>3</v>
      </c>
      <c r="L414" s="93">
        <v>3</v>
      </c>
      <c r="M414" s="93">
        <v>3</v>
      </c>
      <c r="N414" s="131">
        <v>3</v>
      </c>
      <c r="O414" s="131">
        <v>3</v>
      </c>
      <c r="P414" s="131">
        <v>3</v>
      </c>
      <c r="Q414" s="131">
        <v>3</v>
      </c>
      <c r="R414" s="131">
        <v>3</v>
      </c>
      <c r="S414" s="131">
        <v>3</v>
      </c>
      <c r="T414" s="131">
        <v>3</v>
      </c>
      <c r="U414" s="131">
        <v>3</v>
      </c>
      <c r="V414" s="131">
        <v>3</v>
      </c>
      <c r="W414" s="70">
        <f>J414+K414+L414+M414+N414+P414+R414+T414+V414</f>
        <v>27</v>
      </c>
      <c r="X414" s="30">
        <v>2024</v>
      </c>
      <c r="Y414" s="140">
        <f aca="true" t="shared" si="156" ref="Y414:Y434">P414-O414</f>
        <v>0</v>
      </c>
      <c r="Z414" s="141">
        <f aca="true" t="shared" si="157" ref="Z414:Z434">R414-Q414</f>
        <v>0</v>
      </c>
      <c r="AA414" s="140">
        <f aca="true" t="shared" si="158" ref="AA414:AA434">T414-S414</f>
        <v>0</v>
      </c>
      <c r="AB414" s="140">
        <f aca="true" t="shared" si="159" ref="AB414:AB434">V414-U414</f>
        <v>0</v>
      </c>
    </row>
    <row r="415" spans="1:28" ht="38.25">
      <c r="A415" s="36" t="s">
        <v>19</v>
      </c>
      <c r="B415" s="37">
        <v>1</v>
      </c>
      <c r="C415" s="37">
        <v>3</v>
      </c>
      <c r="D415" s="37">
        <v>3</v>
      </c>
      <c r="E415" s="37">
        <v>0</v>
      </c>
      <c r="F415" s="37">
        <v>2</v>
      </c>
      <c r="G415" s="37"/>
      <c r="H415" s="40" t="s">
        <v>334</v>
      </c>
      <c r="I415" s="37" t="s">
        <v>21</v>
      </c>
      <c r="J415" s="88">
        <f aca="true" t="shared" si="160" ref="J415:V415">J416</f>
        <v>1928.4</v>
      </c>
      <c r="K415" s="88">
        <f t="shared" si="160"/>
        <v>0</v>
      </c>
      <c r="L415" s="88">
        <f t="shared" si="160"/>
        <v>1850.7</v>
      </c>
      <c r="M415" s="89">
        <f t="shared" si="160"/>
        <v>1899.8</v>
      </c>
      <c r="N415" s="89">
        <v>0</v>
      </c>
      <c r="O415" s="89">
        <v>0</v>
      </c>
      <c r="P415" s="89">
        <f t="shared" si="160"/>
        <v>0</v>
      </c>
      <c r="Q415" s="89">
        <v>0</v>
      </c>
      <c r="R415" s="89">
        <f t="shared" si="160"/>
        <v>0</v>
      </c>
      <c r="S415" s="89">
        <v>0</v>
      </c>
      <c r="T415" s="89">
        <f t="shared" si="160"/>
        <v>0</v>
      </c>
      <c r="U415" s="89">
        <v>0</v>
      </c>
      <c r="V415" s="89">
        <f t="shared" si="160"/>
        <v>0</v>
      </c>
      <c r="W415" s="89">
        <f>J415+K415+L415+M415+N415+P415+R415+T415+V415</f>
        <v>5678.9</v>
      </c>
      <c r="X415" s="37">
        <v>2019</v>
      </c>
      <c r="Y415" s="140">
        <f t="shared" si="156"/>
        <v>0</v>
      </c>
      <c r="Z415" s="141">
        <f t="shared" si="157"/>
        <v>0</v>
      </c>
      <c r="AA415" s="140">
        <f t="shared" si="158"/>
        <v>0</v>
      </c>
      <c r="AB415" s="140">
        <f t="shared" si="159"/>
        <v>0</v>
      </c>
    </row>
    <row r="416" spans="1:28" ht="12.75">
      <c r="A416" s="21" t="s">
        <v>19</v>
      </c>
      <c r="B416" s="22">
        <v>1</v>
      </c>
      <c r="C416" s="22">
        <v>3</v>
      </c>
      <c r="D416" s="22">
        <v>3</v>
      </c>
      <c r="E416" s="22">
        <v>0</v>
      </c>
      <c r="F416" s="22">
        <v>2</v>
      </c>
      <c r="G416" s="22">
        <v>3</v>
      </c>
      <c r="H416" s="26" t="s">
        <v>22</v>
      </c>
      <c r="I416" s="22" t="s">
        <v>21</v>
      </c>
      <c r="J416" s="138">
        <f>1966.8-38.4</f>
        <v>1928.4</v>
      </c>
      <c r="K416" s="138">
        <v>0</v>
      </c>
      <c r="L416" s="64">
        <v>1850.7</v>
      </c>
      <c r="M416" s="64">
        <v>1899.8</v>
      </c>
      <c r="N416" s="138">
        <v>0</v>
      </c>
      <c r="O416" s="138">
        <v>0</v>
      </c>
      <c r="P416" s="138">
        <v>0</v>
      </c>
      <c r="Q416" s="64">
        <v>0</v>
      </c>
      <c r="R416" s="64">
        <v>0</v>
      </c>
      <c r="S416" s="64">
        <v>0</v>
      </c>
      <c r="T416" s="64">
        <v>0</v>
      </c>
      <c r="U416" s="64">
        <v>0</v>
      </c>
      <c r="V416" s="64">
        <v>0</v>
      </c>
      <c r="W416" s="120">
        <f>J416+K416+L416+M416+N416+P416+R416+T416+V416</f>
        <v>5678.9</v>
      </c>
      <c r="X416" s="30">
        <v>2019</v>
      </c>
      <c r="Y416" s="140">
        <f t="shared" si="156"/>
        <v>0</v>
      </c>
      <c r="Z416" s="141">
        <f t="shared" si="157"/>
        <v>0</v>
      </c>
      <c r="AA416" s="140">
        <f t="shared" si="158"/>
        <v>0</v>
      </c>
      <c r="AB416" s="140">
        <f t="shared" si="159"/>
        <v>0</v>
      </c>
    </row>
    <row r="417" spans="1:28" ht="51">
      <c r="A417" s="21" t="s">
        <v>19</v>
      </c>
      <c r="B417" s="22">
        <v>1</v>
      </c>
      <c r="C417" s="22">
        <v>3</v>
      </c>
      <c r="D417" s="22">
        <v>3</v>
      </c>
      <c r="E417" s="22">
        <v>0</v>
      </c>
      <c r="F417" s="22">
        <v>2</v>
      </c>
      <c r="G417" s="43"/>
      <c r="H417" s="46" t="s">
        <v>335</v>
      </c>
      <c r="I417" s="43" t="s">
        <v>57</v>
      </c>
      <c r="J417" s="131">
        <v>9</v>
      </c>
      <c r="K417" s="131">
        <v>0</v>
      </c>
      <c r="L417" s="93">
        <v>0</v>
      </c>
      <c r="M417" s="93">
        <v>0</v>
      </c>
      <c r="N417" s="190">
        <v>0</v>
      </c>
      <c r="O417" s="190">
        <v>0</v>
      </c>
      <c r="P417" s="190">
        <v>0</v>
      </c>
      <c r="Q417" s="190">
        <v>0</v>
      </c>
      <c r="R417" s="190">
        <v>0</v>
      </c>
      <c r="S417" s="190">
        <v>0</v>
      </c>
      <c r="T417" s="190">
        <v>0</v>
      </c>
      <c r="U417" s="190">
        <v>0</v>
      </c>
      <c r="V417" s="190">
        <v>0</v>
      </c>
      <c r="W417" s="190">
        <v>9</v>
      </c>
      <c r="X417" s="207">
        <v>2016</v>
      </c>
      <c r="Y417" s="140">
        <f t="shared" si="156"/>
        <v>0</v>
      </c>
      <c r="Z417" s="141">
        <f t="shared" si="157"/>
        <v>0</v>
      </c>
      <c r="AA417" s="140">
        <f t="shared" si="158"/>
        <v>0</v>
      </c>
      <c r="AB417" s="140">
        <f t="shared" si="159"/>
        <v>0</v>
      </c>
    </row>
    <row r="418" spans="1:28" ht="51">
      <c r="A418" s="21" t="s">
        <v>19</v>
      </c>
      <c r="B418" s="22">
        <v>1</v>
      </c>
      <c r="C418" s="22">
        <v>3</v>
      </c>
      <c r="D418" s="22">
        <v>3</v>
      </c>
      <c r="E418" s="22">
        <v>0</v>
      </c>
      <c r="F418" s="22">
        <v>2</v>
      </c>
      <c r="G418" s="43"/>
      <c r="H418" s="46" t="s">
        <v>336</v>
      </c>
      <c r="I418" s="43" t="s">
        <v>57</v>
      </c>
      <c r="J418" s="131">
        <v>104</v>
      </c>
      <c r="K418" s="131">
        <v>104</v>
      </c>
      <c r="L418" s="93">
        <v>104</v>
      </c>
      <c r="M418" s="93">
        <v>104</v>
      </c>
      <c r="N418" s="131">
        <v>0</v>
      </c>
      <c r="O418" s="131">
        <v>0</v>
      </c>
      <c r="P418" s="131">
        <v>0</v>
      </c>
      <c r="Q418" s="93">
        <v>0</v>
      </c>
      <c r="R418" s="93">
        <v>0</v>
      </c>
      <c r="S418" s="93">
        <v>0</v>
      </c>
      <c r="T418" s="93">
        <v>0</v>
      </c>
      <c r="U418" s="93">
        <v>0</v>
      </c>
      <c r="V418" s="93">
        <v>0</v>
      </c>
      <c r="W418" s="131">
        <f>SUM(J418:V418)</f>
        <v>416</v>
      </c>
      <c r="X418" s="43">
        <v>2019</v>
      </c>
      <c r="Y418" s="140">
        <f t="shared" si="156"/>
        <v>0</v>
      </c>
      <c r="Z418" s="141">
        <f t="shared" si="157"/>
        <v>0</v>
      </c>
      <c r="AA418" s="140">
        <f t="shared" si="158"/>
        <v>0</v>
      </c>
      <c r="AB418" s="140">
        <f t="shared" si="159"/>
        <v>0</v>
      </c>
    </row>
    <row r="419" spans="1:28" s="2" customFormat="1" ht="63.75">
      <c r="A419" s="36" t="s">
        <v>19</v>
      </c>
      <c r="B419" s="37">
        <v>1</v>
      </c>
      <c r="C419" s="37">
        <v>3</v>
      </c>
      <c r="D419" s="37">
        <v>3</v>
      </c>
      <c r="E419" s="37">
        <v>0</v>
      </c>
      <c r="F419" s="37">
        <v>3</v>
      </c>
      <c r="G419" s="37"/>
      <c r="H419" s="40" t="s">
        <v>337</v>
      </c>
      <c r="I419" s="37" t="s">
        <v>21</v>
      </c>
      <c r="J419" s="88">
        <f>J420</f>
        <v>9779.4</v>
      </c>
      <c r="K419" s="88">
        <f>K420</f>
        <v>21865.7</v>
      </c>
      <c r="L419" s="88">
        <f>L420</f>
        <v>31063.6</v>
      </c>
      <c r="M419" s="89">
        <f>M420</f>
        <v>12701.9</v>
      </c>
      <c r="N419" s="89">
        <v>17148.1</v>
      </c>
      <c r="O419" s="89">
        <v>13391.4</v>
      </c>
      <c r="P419" s="89">
        <f>P420</f>
        <v>13391.4</v>
      </c>
      <c r="Q419" s="89">
        <v>0</v>
      </c>
      <c r="R419" s="89">
        <f>R420</f>
        <v>0</v>
      </c>
      <c r="S419" s="89">
        <v>0</v>
      </c>
      <c r="T419" s="89">
        <f>T420</f>
        <v>0</v>
      </c>
      <c r="U419" s="89">
        <v>6852.4</v>
      </c>
      <c r="V419" s="89">
        <f>V420</f>
        <v>6852.4</v>
      </c>
      <c r="W419" s="89">
        <f aca="true" t="shared" si="161" ref="W419:W430">J419+K419+L419+M419+N419+P419+R419+T419+V419</f>
        <v>112802.5</v>
      </c>
      <c r="X419" s="37">
        <v>2024</v>
      </c>
      <c r="Y419" s="140">
        <f t="shared" si="156"/>
        <v>0</v>
      </c>
      <c r="Z419" s="141">
        <f t="shared" si="157"/>
        <v>0</v>
      </c>
      <c r="AA419" s="140">
        <f t="shared" si="158"/>
        <v>0</v>
      </c>
      <c r="AB419" s="140">
        <f t="shared" si="159"/>
        <v>0</v>
      </c>
    </row>
    <row r="420" spans="1:28" s="2" customFormat="1" ht="12.75">
      <c r="A420" s="21" t="s">
        <v>19</v>
      </c>
      <c r="B420" s="22">
        <v>1</v>
      </c>
      <c r="C420" s="22">
        <v>3</v>
      </c>
      <c r="D420" s="22">
        <v>3</v>
      </c>
      <c r="E420" s="22">
        <v>0</v>
      </c>
      <c r="F420" s="22">
        <v>3</v>
      </c>
      <c r="G420" s="22">
        <v>3</v>
      </c>
      <c r="H420" s="26" t="s">
        <v>22</v>
      </c>
      <c r="I420" s="22" t="s">
        <v>21</v>
      </c>
      <c r="J420" s="138">
        <f>9741+38.4</f>
        <v>9779.4</v>
      </c>
      <c r="K420" s="64">
        <f>21865.7</f>
        <v>21865.7</v>
      </c>
      <c r="L420" s="64">
        <f>30932.9+532.8-402.4-0.1+0.3+0.1</f>
        <v>31063.6</v>
      </c>
      <c r="M420" s="64">
        <v>12701.9</v>
      </c>
      <c r="N420" s="304">
        <v>11252</v>
      </c>
      <c r="O420" s="304">
        <v>13391.4</v>
      </c>
      <c r="P420" s="304">
        <v>13391.4</v>
      </c>
      <c r="Q420" s="330">
        <v>0</v>
      </c>
      <c r="R420" s="330">
        <v>0</v>
      </c>
      <c r="S420" s="330">
        <v>0</v>
      </c>
      <c r="T420" s="330">
        <v>0</v>
      </c>
      <c r="U420" s="330">
        <v>6852.4</v>
      </c>
      <c r="V420" s="330">
        <v>6852.4</v>
      </c>
      <c r="W420" s="64">
        <f t="shared" si="161"/>
        <v>106906.4</v>
      </c>
      <c r="X420" s="22">
        <v>2024</v>
      </c>
      <c r="Y420" s="140">
        <f t="shared" si="156"/>
        <v>0</v>
      </c>
      <c r="Z420" s="141">
        <f t="shared" si="157"/>
        <v>0</v>
      </c>
      <c r="AA420" s="140">
        <f t="shared" si="158"/>
        <v>0</v>
      </c>
      <c r="AB420" s="140">
        <f t="shared" si="159"/>
        <v>0</v>
      </c>
    </row>
    <row r="421" spans="1:28" s="2" customFormat="1" ht="12.75">
      <c r="A421" s="21" t="s">
        <v>19</v>
      </c>
      <c r="B421" s="22">
        <v>1</v>
      </c>
      <c r="C421" s="22">
        <v>3</v>
      </c>
      <c r="D421" s="22">
        <v>3</v>
      </c>
      <c r="E421" s="22">
        <v>0</v>
      </c>
      <c r="F421" s="22">
        <v>3</v>
      </c>
      <c r="G421" s="22">
        <v>2</v>
      </c>
      <c r="H421" s="26" t="s">
        <v>23</v>
      </c>
      <c r="I421" s="22" t="s">
        <v>21</v>
      </c>
      <c r="J421" s="138">
        <v>0</v>
      </c>
      <c r="K421" s="138">
        <v>0</v>
      </c>
      <c r="L421" s="138">
        <v>0</v>
      </c>
      <c r="M421" s="138">
        <v>0</v>
      </c>
      <c r="N421" s="304">
        <v>5896.1</v>
      </c>
      <c r="O421" s="304">
        <v>0</v>
      </c>
      <c r="P421" s="304">
        <v>0</v>
      </c>
      <c r="Q421" s="330">
        <v>0</v>
      </c>
      <c r="R421" s="330">
        <v>0</v>
      </c>
      <c r="S421" s="330">
        <v>0</v>
      </c>
      <c r="T421" s="330">
        <v>0</v>
      </c>
      <c r="U421" s="330">
        <v>0</v>
      </c>
      <c r="V421" s="330">
        <v>0</v>
      </c>
      <c r="W421" s="64">
        <f t="shared" si="161"/>
        <v>5896.1</v>
      </c>
      <c r="X421" s="22">
        <v>2020</v>
      </c>
      <c r="Y421" s="140">
        <f t="shared" si="156"/>
        <v>0</v>
      </c>
      <c r="Z421" s="141">
        <f t="shared" si="157"/>
        <v>0</v>
      </c>
      <c r="AA421" s="140">
        <f t="shared" si="158"/>
        <v>0</v>
      </c>
      <c r="AB421" s="140">
        <f t="shared" si="159"/>
        <v>0</v>
      </c>
    </row>
    <row r="422" spans="1:28" s="2" customFormat="1" ht="38.25">
      <c r="A422" s="21" t="s">
        <v>19</v>
      </c>
      <c r="B422" s="22">
        <v>1</v>
      </c>
      <c r="C422" s="22">
        <v>3</v>
      </c>
      <c r="D422" s="22">
        <v>3</v>
      </c>
      <c r="E422" s="22">
        <v>0</v>
      </c>
      <c r="F422" s="22">
        <v>3</v>
      </c>
      <c r="G422" s="43"/>
      <c r="H422" s="46" t="s">
        <v>338</v>
      </c>
      <c r="I422" s="43" t="s">
        <v>57</v>
      </c>
      <c r="J422" s="131">
        <v>15</v>
      </c>
      <c r="K422" s="93">
        <v>22</v>
      </c>
      <c r="L422" s="93">
        <v>26</v>
      </c>
      <c r="M422" s="93">
        <v>17</v>
      </c>
      <c r="N422" s="190">
        <v>8</v>
      </c>
      <c r="O422" s="131">
        <v>0</v>
      </c>
      <c r="P422" s="131">
        <v>0</v>
      </c>
      <c r="Q422" s="131">
        <v>0</v>
      </c>
      <c r="R422" s="131">
        <v>0</v>
      </c>
      <c r="S422" s="131">
        <v>0</v>
      </c>
      <c r="T422" s="131">
        <v>0</v>
      </c>
      <c r="U422" s="131">
        <v>0</v>
      </c>
      <c r="V422" s="131">
        <v>0</v>
      </c>
      <c r="W422" s="70">
        <f t="shared" si="161"/>
        <v>88</v>
      </c>
      <c r="X422" s="43">
        <v>2020</v>
      </c>
      <c r="Y422" s="140">
        <f t="shared" si="156"/>
        <v>0</v>
      </c>
      <c r="Z422" s="141">
        <f t="shared" si="157"/>
        <v>0</v>
      </c>
      <c r="AA422" s="140">
        <f t="shared" si="158"/>
        <v>0</v>
      </c>
      <c r="AB422" s="140">
        <f t="shared" si="159"/>
        <v>0</v>
      </c>
    </row>
    <row r="423" spans="1:28" ht="63.75">
      <c r="A423" s="21" t="s">
        <v>19</v>
      </c>
      <c r="B423" s="22">
        <v>1</v>
      </c>
      <c r="C423" s="22">
        <v>3</v>
      </c>
      <c r="D423" s="22">
        <v>3</v>
      </c>
      <c r="E423" s="22">
        <v>0</v>
      </c>
      <c r="F423" s="22">
        <v>3</v>
      </c>
      <c r="G423" s="43"/>
      <c r="H423" s="46" t="s">
        <v>339</v>
      </c>
      <c r="I423" s="43" t="s">
        <v>57</v>
      </c>
      <c r="J423" s="131">
        <v>22</v>
      </c>
      <c r="K423" s="93">
        <v>25</v>
      </c>
      <c r="L423" s="93">
        <v>9</v>
      </c>
      <c r="M423" s="190">
        <v>6</v>
      </c>
      <c r="N423" s="190">
        <v>14</v>
      </c>
      <c r="O423" s="190">
        <v>4</v>
      </c>
      <c r="P423" s="190">
        <v>5</v>
      </c>
      <c r="Q423" s="93">
        <v>0</v>
      </c>
      <c r="R423" s="93">
        <v>0</v>
      </c>
      <c r="S423" s="93">
        <v>0</v>
      </c>
      <c r="T423" s="93">
        <v>0</v>
      </c>
      <c r="U423" s="93">
        <v>2</v>
      </c>
      <c r="V423" s="93">
        <v>2</v>
      </c>
      <c r="W423" s="93">
        <f t="shared" si="161"/>
        <v>83</v>
      </c>
      <c r="X423" s="43">
        <v>2024</v>
      </c>
      <c r="Y423" s="140">
        <f t="shared" si="156"/>
        <v>1</v>
      </c>
      <c r="Z423" s="141">
        <f t="shared" si="157"/>
        <v>0</v>
      </c>
      <c r="AA423" s="140">
        <f t="shared" si="158"/>
        <v>0</v>
      </c>
      <c r="AB423" s="140">
        <f t="shared" si="159"/>
        <v>0</v>
      </c>
    </row>
    <row r="424" spans="1:28" s="9" customFormat="1" ht="51">
      <c r="A424" s="21" t="s">
        <v>19</v>
      </c>
      <c r="B424" s="22">
        <v>1</v>
      </c>
      <c r="C424" s="22">
        <v>3</v>
      </c>
      <c r="D424" s="22">
        <v>3</v>
      </c>
      <c r="E424" s="22">
        <v>0</v>
      </c>
      <c r="F424" s="22">
        <v>3</v>
      </c>
      <c r="G424" s="43"/>
      <c r="H424" s="46" t="s">
        <v>340</v>
      </c>
      <c r="I424" s="43" t="s">
        <v>57</v>
      </c>
      <c r="J424" s="131">
        <v>0</v>
      </c>
      <c r="K424" s="93">
        <v>13</v>
      </c>
      <c r="L424" s="93">
        <v>17</v>
      </c>
      <c r="M424" s="93">
        <v>5</v>
      </c>
      <c r="N424" s="190">
        <v>0</v>
      </c>
      <c r="O424" s="131">
        <v>0</v>
      </c>
      <c r="P424" s="131">
        <v>0</v>
      </c>
      <c r="Q424" s="131">
        <v>0</v>
      </c>
      <c r="R424" s="131">
        <v>0</v>
      </c>
      <c r="S424" s="131">
        <v>0</v>
      </c>
      <c r="T424" s="131">
        <v>0</v>
      </c>
      <c r="U424" s="131">
        <v>0</v>
      </c>
      <c r="V424" s="131">
        <v>0</v>
      </c>
      <c r="W424" s="93">
        <f t="shared" si="161"/>
        <v>35</v>
      </c>
      <c r="X424" s="30">
        <v>2019</v>
      </c>
      <c r="Y424" s="140">
        <f t="shared" si="156"/>
        <v>0</v>
      </c>
      <c r="Z424" s="141">
        <f t="shared" si="157"/>
        <v>0</v>
      </c>
      <c r="AA424" s="140">
        <f t="shared" si="158"/>
        <v>0</v>
      </c>
      <c r="AB424" s="140">
        <f t="shared" si="159"/>
        <v>0</v>
      </c>
    </row>
    <row r="425" spans="1:28" ht="76.5">
      <c r="A425" s="21" t="s">
        <v>19</v>
      </c>
      <c r="B425" s="22">
        <v>1</v>
      </c>
      <c r="C425" s="22">
        <v>3</v>
      </c>
      <c r="D425" s="22">
        <v>3</v>
      </c>
      <c r="E425" s="22">
        <v>0</v>
      </c>
      <c r="F425" s="22">
        <v>3</v>
      </c>
      <c r="G425" s="43"/>
      <c r="H425" s="46" t="s">
        <v>341</v>
      </c>
      <c r="I425" s="43" t="s">
        <v>57</v>
      </c>
      <c r="J425" s="131">
        <v>0</v>
      </c>
      <c r="K425" s="93">
        <v>0</v>
      </c>
      <c r="L425" s="93">
        <v>67</v>
      </c>
      <c r="M425" s="131">
        <v>64</v>
      </c>
      <c r="N425" s="190">
        <v>0</v>
      </c>
      <c r="O425" s="131">
        <v>0</v>
      </c>
      <c r="P425" s="131">
        <v>0</v>
      </c>
      <c r="Q425" s="131">
        <v>0</v>
      </c>
      <c r="R425" s="131">
        <v>0</v>
      </c>
      <c r="S425" s="131">
        <v>0</v>
      </c>
      <c r="T425" s="131">
        <v>0</v>
      </c>
      <c r="U425" s="131">
        <v>0</v>
      </c>
      <c r="V425" s="131">
        <v>0</v>
      </c>
      <c r="W425" s="93">
        <f t="shared" si="161"/>
        <v>131</v>
      </c>
      <c r="X425" s="43">
        <v>2019</v>
      </c>
      <c r="Y425" s="140">
        <f t="shared" si="156"/>
        <v>0</v>
      </c>
      <c r="Z425" s="141">
        <f t="shared" si="157"/>
        <v>0</v>
      </c>
      <c r="AA425" s="140">
        <f t="shared" si="158"/>
        <v>0</v>
      </c>
      <c r="AB425" s="140">
        <f t="shared" si="159"/>
        <v>0</v>
      </c>
    </row>
    <row r="426" spans="1:28" ht="63.75">
      <c r="A426" s="21" t="s">
        <v>19</v>
      </c>
      <c r="B426" s="22">
        <v>1</v>
      </c>
      <c r="C426" s="22">
        <v>3</v>
      </c>
      <c r="D426" s="22">
        <v>3</v>
      </c>
      <c r="E426" s="22">
        <v>0</v>
      </c>
      <c r="F426" s="22">
        <v>3</v>
      </c>
      <c r="G426" s="43"/>
      <c r="H426" s="240" t="s">
        <v>342</v>
      </c>
      <c r="I426" s="207" t="s">
        <v>57</v>
      </c>
      <c r="J426" s="131">
        <v>0</v>
      </c>
      <c r="K426" s="93">
        <v>0</v>
      </c>
      <c r="L426" s="93">
        <v>0</v>
      </c>
      <c r="M426" s="93">
        <v>0</v>
      </c>
      <c r="N426" s="190">
        <v>1</v>
      </c>
      <c r="O426" s="131">
        <v>0</v>
      </c>
      <c r="P426" s="131">
        <v>0</v>
      </c>
      <c r="Q426" s="131">
        <v>0</v>
      </c>
      <c r="R426" s="131">
        <v>0</v>
      </c>
      <c r="S426" s="131">
        <v>0</v>
      </c>
      <c r="T426" s="131">
        <v>0</v>
      </c>
      <c r="U426" s="131">
        <v>0</v>
      </c>
      <c r="V426" s="131">
        <v>0</v>
      </c>
      <c r="W426" s="93">
        <f t="shared" si="161"/>
        <v>1</v>
      </c>
      <c r="X426" s="43">
        <v>2020</v>
      </c>
      <c r="Y426" s="140">
        <f t="shared" si="156"/>
        <v>0</v>
      </c>
      <c r="Z426" s="141">
        <f t="shared" si="157"/>
        <v>0</v>
      </c>
      <c r="AA426" s="140">
        <f t="shared" si="158"/>
        <v>0</v>
      </c>
      <c r="AB426" s="140">
        <f t="shared" si="159"/>
        <v>0</v>
      </c>
    </row>
    <row r="427" spans="1:28" ht="76.5" customHeight="1">
      <c r="A427" s="21" t="s">
        <v>19</v>
      </c>
      <c r="B427" s="22">
        <v>1</v>
      </c>
      <c r="C427" s="22">
        <v>3</v>
      </c>
      <c r="D427" s="22">
        <v>3</v>
      </c>
      <c r="E427" s="22">
        <v>0</v>
      </c>
      <c r="F427" s="22">
        <v>3</v>
      </c>
      <c r="G427" s="43"/>
      <c r="H427" s="240" t="s">
        <v>343</v>
      </c>
      <c r="I427" s="207" t="s">
        <v>57</v>
      </c>
      <c r="J427" s="131">
        <v>0</v>
      </c>
      <c r="K427" s="93">
        <v>0</v>
      </c>
      <c r="L427" s="93">
        <v>0</v>
      </c>
      <c r="M427" s="93">
        <v>0</v>
      </c>
      <c r="N427" s="190">
        <v>3</v>
      </c>
      <c r="O427" s="190">
        <v>2</v>
      </c>
      <c r="P427" s="190">
        <v>2</v>
      </c>
      <c r="Q427" s="131">
        <v>0</v>
      </c>
      <c r="R427" s="131">
        <v>0</v>
      </c>
      <c r="S427" s="131">
        <v>0</v>
      </c>
      <c r="T427" s="131">
        <v>0</v>
      </c>
      <c r="U427" s="131">
        <v>0</v>
      </c>
      <c r="V427" s="131">
        <v>0</v>
      </c>
      <c r="W427" s="93">
        <f t="shared" si="161"/>
        <v>5</v>
      </c>
      <c r="X427" s="43">
        <v>2020</v>
      </c>
      <c r="Y427" s="140">
        <f t="shared" si="156"/>
        <v>0</v>
      </c>
      <c r="Z427" s="141">
        <f t="shared" si="157"/>
        <v>0</v>
      </c>
      <c r="AA427" s="140">
        <f t="shared" si="158"/>
        <v>0</v>
      </c>
      <c r="AB427" s="140">
        <f t="shared" si="159"/>
        <v>0</v>
      </c>
    </row>
    <row r="428" spans="1:28" s="2" customFormat="1" ht="38.25">
      <c r="A428" s="160" t="s">
        <v>19</v>
      </c>
      <c r="B428" s="34">
        <v>1</v>
      </c>
      <c r="C428" s="34">
        <v>3</v>
      </c>
      <c r="D428" s="34">
        <v>4</v>
      </c>
      <c r="E428" s="34">
        <v>0</v>
      </c>
      <c r="F428" s="34">
        <v>0</v>
      </c>
      <c r="G428" s="34"/>
      <c r="H428" s="35" t="s">
        <v>344</v>
      </c>
      <c r="I428" s="34" t="s">
        <v>21</v>
      </c>
      <c r="J428" s="81">
        <f>J429</f>
        <v>0</v>
      </c>
      <c r="K428" s="81">
        <f>K429</f>
        <v>78.1</v>
      </c>
      <c r="L428" s="81">
        <f>L429</f>
        <v>3275</v>
      </c>
      <c r="M428" s="81">
        <f aca="true" t="shared" si="162" ref="M428:V428">M429+M430</f>
        <v>34500.6</v>
      </c>
      <c r="N428" s="81">
        <v>16808.3</v>
      </c>
      <c r="O428" s="81">
        <v>14241.9</v>
      </c>
      <c r="P428" s="81">
        <f t="shared" si="162"/>
        <v>14241.9</v>
      </c>
      <c r="Q428" s="81">
        <v>59203.8</v>
      </c>
      <c r="R428" s="81">
        <f t="shared" si="162"/>
        <v>59203.8</v>
      </c>
      <c r="S428" s="81">
        <v>72008.1</v>
      </c>
      <c r="T428" s="81">
        <f t="shared" si="162"/>
        <v>72008.1</v>
      </c>
      <c r="U428" s="81">
        <v>26248</v>
      </c>
      <c r="V428" s="81">
        <f t="shared" si="162"/>
        <v>26248</v>
      </c>
      <c r="W428" s="81">
        <f t="shared" si="161"/>
        <v>226363.8</v>
      </c>
      <c r="X428" s="34">
        <v>2024</v>
      </c>
      <c r="Y428" s="140">
        <f t="shared" si="156"/>
        <v>0</v>
      </c>
      <c r="Z428" s="141">
        <f t="shared" si="157"/>
        <v>0</v>
      </c>
      <c r="AA428" s="140">
        <f t="shared" si="158"/>
        <v>0</v>
      </c>
      <c r="AB428" s="140">
        <f t="shared" si="159"/>
        <v>0</v>
      </c>
    </row>
    <row r="429" spans="1:28" s="2" customFormat="1" ht="12.75">
      <c r="A429" s="21" t="s">
        <v>19</v>
      </c>
      <c r="B429" s="22">
        <v>1</v>
      </c>
      <c r="C429" s="22">
        <v>3</v>
      </c>
      <c r="D429" s="22">
        <v>4</v>
      </c>
      <c r="E429" s="22">
        <v>0</v>
      </c>
      <c r="F429" s="22">
        <v>0</v>
      </c>
      <c r="G429" s="22">
        <v>3</v>
      </c>
      <c r="H429" s="26" t="s">
        <v>22</v>
      </c>
      <c r="I429" s="22" t="s">
        <v>21</v>
      </c>
      <c r="J429" s="327">
        <f aca="true" t="shared" si="163" ref="J429:V429">J438</f>
        <v>0</v>
      </c>
      <c r="K429" s="327">
        <f t="shared" si="163"/>
        <v>78.1</v>
      </c>
      <c r="L429" s="328">
        <f t="shared" si="163"/>
        <v>3275</v>
      </c>
      <c r="M429" s="328">
        <f t="shared" si="163"/>
        <v>33904.2</v>
      </c>
      <c r="N429" s="327">
        <v>16808.3</v>
      </c>
      <c r="O429" s="327">
        <v>14241.9</v>
      </c>
      <c r="P429" s="327">
        <f t="shared" si="163"/>
        <v>14241.9</v>
      </c>
      <c r="Q429" s="327">
        <v>59203.8</v>
      </c>
      <c r="R429" s="327">
        <f t="shared" si="163"/>
        <v>59203.8</v>
      </c>
      <c r="S429" s="327">
        <v>72008.1</v>
      </c>
      <c r="T429" s="327">
        <f t="shared" si="163"/>
        <v>72008.1</v>
      </c>
      <c r="U429" s="327">
        <v>26248</v>
      </c>
      <c r="V429" s="327">
        <f t="shared" si="163"/>
        <v>26248</v>
      </c>
      <c r="W429" s="64">
        <f t="shared" si="161"/>
        <v>225767.4</v>
      </c>
      <c r="X429" s="28">
        <v>2024</v>
      </c>
      <c r="Y429" s="140">
        <f t="shared" si="156"/>
        <v>0</v>
      </c>
      <c r="Z429" s="141">
        <f t="shared" si="157"/>
        <v>0</v>
      </c>
      <c r="AA429" s="140">
        <f t="shared" si="158"/>
        <v>0</v>
      </c>
      <c r="AB429" s="140">
        <f t="shared" si="159"/>
        <v>0</v>
      </c>
    </row>
    <row r="430" spans="1:28" s="2" customFormat="1" ht="12.75">
      <c r="A430" s="21" t="s">
        <v>19</v>
      </c>
      <c r="B430" s="22">
        <v>1</v>
      </c>
      <c r="C430" s="22">
        <v>3</v>
      </c>
      <c r="D430" s="22">
        <v>4</v>
      </c>
      <c r="E430" s="22">
        <v>0</v>
      </c>
      <c r="F430" s="22">
        <v>0</v>
      </c>
      <c r="G430" s="22">
        <v>2</v>
      </c>
      <c r="H430" s="26" t="s">
        <v>23</v>
      </c>
      <c r="I430" s="22" t="s">
        <v>21</v>
      </c>
      <c r="J430" s="327">
        <v>0</v>
      </c>
      <c r="K430" s="327">
        <v>0</v>
      </c>
      <c r="L430" s="328">
        <v>0</v>
      </c>
      <c r="M430" s="328">
        <f>M439</f>
        <v>596.4</v>
      </c>
      <c r="N430" s="327">
        <v>0</v>
      </c>
      <c r="O430" s="327">
        <v>0</v>
      </c>
      <c r="P430" s="327">
        <v>0</v>
      </c>
      <c r="Q430" s="328">
        <v>0</v>
      </c>
      <c r="R430" s="328">
        <v>0</v>
      </c>
      <c r="S430" s="328">
        <v>0</v>
      </c>
      <c r="T430" s="328">
        <f>T439</f>
        <v>0</v>
      </c>
      <c r="U430" s="328">
        <v>0</v>
      </c>
      <c r="V430" s="328">
        <f>V439</f>
        <v>0</v>
      </c>
      <c r="W430" s="64">
        <f t="shared" si="161"/>
        <v>596.4</v>
      </c>
      <c r="X430" s="28">
        <v>2019</v>
      </c>
      <c r="Y430" s="140">
        <f t="shared" si="156"/>
        <v>0</v>
      </c>
      <c r="Z430" s="141">
        <f t="shared" si="157"/>
        <v>0</v>
      </c>
      <c r="AA430" s="140">
        <f t="shared" si="158"/>
        <v>0</v>
      </c>
      <c r="AB430" s="140">
        <f t="shared" si="159"/>
        <v>0</v>
      </c>
    </row>
    <row r="431" spans="1:28" ht="38.25">
      <c r="A431" s="21" t="s">
        <v>19</v>
      </c>
      <c r="B431" s="22">
        <v>1</v>
      </c>
      <c r="C431" s="22">
        <v>3</v>
      </c>
      <c r="D431" s="22">
        <v>4</v>
      </c>
      <c r="E431" s="22">
        <v>0</v>
      </c>
      <c r="F431" s="22">
        <v>0</v>
      </c>
      <c r="G431" s="43"/>
      <c r="H431" s="44" t="s">
        <v>345</v>
      </c>
      <c r="I431" s="43" t="s">
        <v>28</v>
      </c>
      <c r="J431" s="43">
        <v>92.9</v>
      </c>
      <c r="K431" s="43">
        <v>66.3</v>
      </c>
      <c r="L431" s="30">
        <v>68.3</v>
      </c>
      <c r="M431" s="207">
        <v>77.2</v>
      </c>
      <c r="N431" s="207">
        <v>77.2</v>
      </c>
      <c r="O431" s="207">
        <v>77.2</v>
      </c>
      <c r="P431" s="207">
        <v>77.2</v>
      </c>
      <c r="Q431" s="207">
        <v>77.2</v>
      </c>
      <c r="R431" s="207">
        <v>77.2</v>
      </c>
      <c r="S431" s="207">
        <v>77.2</v>
      </c>
      <c r="T431" s="207">
        <v>77.2</v>
      </c>
      <c r="U431" s="207">
        <v>83.2</v>
      </c>
      <c r="V431" s="207">
        <v>83.2</v>
      </c>
      <c r="W431" s="207">
        <v>85.1</v>
      </c>
      <c r="X431" s="30">
        <v>2024</v>
      </c>
      <c r="Y431" s="140">
        <f t="shared" si="156"/>
        <v>0</v>
      </c>
      <c r="Z431" s="141">
        <f t="shared" si="157"/>
        <v>0</v>
      </c>
      <c r="AA431" s="140">
        <f t="shared" si="158"/>
        <v>0</v>
      </c>
      <c r="AB431" s="140">
        <f t="shared" si="159"/>
        <v>0</v>
      </c>
    </row>
    <row r="432" spans="1:28" ht="38.25">
      <c r="A432" s="21" t="s">
        <v>19</v>
      </c>
      <c r="B432" s="22">
        <v>1</v>
      </c>
      <c r="C432" s="22">
        <v>3</v>
      </c>
      <c r="D432" s="22">
        <v>4</v>
      </c>
      <c r="E432" s="22">
        <v>0</v>
      </c>
      <c r="F432" s="22">
        <v>0</v>
      </c>
      <c r="G432" s="43"/>
      <c r="H432" s="44" t="s">
        <v>346</v>
      </c>
      <c r="I432" s="43" t="s">
        <v>28</v>
      </c>
      <c r="J432" s="120">
        <v>44.6</v>
      </c>
      <c r="K432" s="120">
        <v>44.6</v>
      </c>
      <c r="L432" s="70">
        <v>45.5</v>
      </c>
      <c r="M432" s="207">
        <v>92</v>
      </c>
      <c r="N432" s="207">
        <v>92.9</v>
      </c>
      <c r="O432" s="207">
        <v>92.9</v>
      </c>
      <c r="P432" s="207">
        <v>92.9</v>
      </c>
      <c r="Q432" s="207">
        <v>92.9</v>
      </c>
      <c r="R432" s="207">
        <v>92.9</v>
      </c>
      <c r="S432" s="207">
        <v>92.9</v>
      </c>
      <c r="T432" s="207">
        <v>92.9</v>
      </c>
      <c r="U432" s="207">
        <v>92.9</v>
      </c>
      <c r="V432" s="207">
        <v>92.9</v>
      </c>
      <c r="W432" s="207">
        <v>92</v>
      </c>
      <c r="X432" s="207">
        <v>2024</v>
      </c>
      <c r="Y432" s="140">
        <f t="shared" si="156"/>
        <v>0</v>
      </c>
      <c r="Z432" s="141">
        <f t="shared" si="157"/>
        <v>0</v>
      </c>
      <c r="AA432" s="140">
        <f t="shared" si="158"/>
        <v>0</v>
      </c>
      <c r="AB432" s="140">
        <f t="shared" si="159"/>
        <v>0</v>
      </c>
    </row>
    <row r="433" spans="1:28" ht="38.25">
      <c r="A433" s="21" t="s">
        <v>19</v>
      </c>
      <c r="B433" s="22">
        <v>1</v>
      </c>
      <c r="C433" s="22">
        <v>3</v>
      </c>
      <c r="D433" s="22">
        <v>4</v>
      </c>
      <c r="E433" s="22">
        <v>0</v>
      </c>
      <c r="F433" s="22">
        <v>0</v>
      </c>
      <c r="G433" s="43"/>
      <c r="H433" s="44" t="s">
        <v>347</v>
      </c>
      <c r="I433" s="43" t="s">
        <v>28</v>
      </c>
      <c r="J433" s="120">
        <v>61.1</v>
      </c>
      <c r="K433" s="120">
        <v>61.1</v>
      </c>
      <c r="L433" s="70">
        <v>61.1</v>
      </c>
      <c r="M433" s="217">
        <v>77.8</v>
      </c>
      <c r="N433" s="217">
        <v>94.4</v>
      </c>
      <c r="O433" s="217">
        <v>94.4</v>
      </c>
      <c r="P433" s="217">
        <v>94.4</v>
      </c>
      <c r="Q433" s="217">
        <v>94.4</v>
      </c>
      <c r="R433" s="217">
        <v>94.4</v>
      </c>
      <c r="S433" s="217">
        <v>94.4</v>
      </c>
      <c r="T433" s="217">
        <v>94.4</v>
      </c>
      <c r="U433" s="217">
        <v>94.4</v>
      </c>
      <c r="V433" s="217">
        <v>94.4</v>
      </c>
      <c r="W433" s="217">
        <v>88.9</v>
      </c>
      <c r="X433" s="207">
        <v>2024</v>
      </c>
      <c r="Y433" s="140">
        <f t="shared" si="156"/>
        <v>0</v>
      </c>
      <c r="Z433" s="141">
        <f t="shared" si="157"/>
        <v>0</v>
      </c>
      <c r="AA433" s="140">
        <f t="shared" si="158"/>
        <v>0</v>
      </c>
      <c r="AB433" s="140">
        <f t="shared" si="159"/>
        <v>0</v>
      </c>
    </row>
    <row r="434" spans="1:28" ht="63.75">
      <c r="A434" s="21" t="s">
        <v>19</v>
      </c>
      <c r="B434" s="22">
        <v>1</v>
      </c>
      <c r="C434" s="22">
        <v>3</v>
      </c>
      <c r="D434" s="22">
        <v>4</v>
      </c>
      <c r="E434" s="22">
        <v>0</v>
      </c>
      <c r="F434" s="22">
        <v>0</v>
      </c>
      <c r="G434" s="43"/>
      <c r="H434" s="44" t="s">
        <v>348</v>
      </c>
      <c r="I434" s="43" t="s">
        <v>28</v>
      </c>
      <c r="J434" s="120">
        <v>0</v>
      </c>
      <c r="K434" s="120">
        <v>0</v>
      </c>
      <c r="L434" s="70">
        <v>98.5</v>
      </c>
      <c r="M434" s="70">
        <v>100</v>
      </c>
      <c r="N434" s="120">
        <v>100</v>
      </c>
      <c r="O434" s="120">
        <v>100</v>
      </c>
      <c r="P434" s="120">
        <v>100</v>
      </c>
      <c r="Q434" s="120">
        <v>100</v>
      </c>
      <c r="R434" s="120">
        <v>100</v>
      </c>
      <c r="S434" s="120">
        <v>100</v>
      </c>
      <c r="T434" s="120">
        <v>100</v>
      </c>
      <c r="U434" s="120">
        <v>100</v>
      </c>
      <c r="V434" s="120">
        <v>100</v>
      </c>
      <c r="W434" s="120">
        <v>100</v>
      </c>
      <c r="X434" s="30">
        <v>2024</v>
      </c>
      <c r="Y434" s="140">
        <f t="shared" si="156"/>
        <v>0</v>
      </c>
      <c r="Z434" s="141">
        <f t="shared" si="157"/>
        <v>0</v>
      </c>
      <c r="AA434" s="140">
        <f t="shared" si="158"/>
        <v>0</v>
      </c>
      <c r="AB434" s="140">
        <f t="shared" si="159"/>
        <v>0</v>
      </c>
    </row>
    <row r="435" spans="1:28" ht="63.75">
      <c r="A435" s="36" t="s">
        <v>19</v>
      </c>
      <c r="B435" s="37">
        <v>1</v>
      </c>
      <c r="C435" s="37">
        <v>3</v>
      </c>
      <c r="D435" s="37">
        <v>4</v>
      </c>
      <c r="E435" s="37">
        <v>0</v>
      </c>
      <c r="F435" s="37">
        <v>1</v>
      </c>
      <c r="G435" s="38"/>
      <c r="H435" s="39" t="s">
        <v>349</v>
      </c>
      <c r="I435" s="38" t="s">
        <v>43</v>
      </c>
      <c r="J435" s="87" t="s">
        <v>44</v>
      </c>
      <c r="K435" s="87" t="s">
        <v>44</v>
      </c>
      <c r="L435" s="87" t="s">
        <v>44</v>
      </c>
      <c r="M435" s="125" t="s">
        <v>44</v>
      </c>
      <c r="N435" s="125" t="s">
        <v>44</v>
      </c>
      <c r="O435" s="125" t="s">
        <v>44</v>
      </c>
      <c r="P435" s="125" t="s">
        <v>44</v>
      </c>
      <c r="Q435" s="125" t="s">
        <v>44</v>
      </c>
      <c r="R435" s="125" t="s">
        <v>44</v>
      </c>
      <c r="S435" s="125" t="s">
        <v>44</v>
      </c>
      <c r="T435" s="125" t="s">
        <v>44</v>
      </c>
      <c r="U435" s="125" t="s">
        <v>44</v>
      </c>
      <c r="V435" s="125" t="s">
        <v>44</v>
      </c>
      <c r="W435" s="87" t="s">
        <v>44</v>
      </c>
      <c r="X435" s="38">
        <v>2024</v>
      </c>
      <c r="Y435" s="140"/>
      <c r="Z435" s="141"/>
      <c r="AA435" s="140"/>
      <c r="AB435" s="140"/>
    </row>
    <row r="436" spans="1:28" ht="51">
      <c r="A436" s="21" t="s">
        <v>19</v>
      </c>
      <c r="B436" s="22">
        <v>1</v>
      </c>
      <c r="C436" s="22">
        <v>3</v>
      </c>
      <c r="D436" s="22">
        <v>4</v>
      </c>
      <c r="E436" s="22">
        <v>0</v>
      </c>
      <c r="F436" s="22">
        <v>1</v>
      </c>
      <c r="G436" s="43"/>
      <c r="H436" s="44" t="s">
        <v>350</v>
      </c>
      <c r="I436" s="43" t="s">
        <v>57</v>
      </c>
      <c r="J436" s="131">
        <v>3</v>
      </c>
      <c r="K436" s="131">
        <v>3</v>
      </c>
      <c r="L436" s="131">
        <v>3</v>
      </c>
      <c r="M436" s="95">
        <v>3</v>
      </c>
      <c r="N436" s="95">
        <v>3</v>
      </c>
      <c r="O436" s="95">
        <v>3</v>
      </c>
      <c r="P436" s="95">
        <v>3</v>
      </c>
      <c r="Q436" s="95">
        <v>3</v>
      </c>
      <c r="R436" s="95">
        <v>3</v>
      </c>
      <c r="S436" s="95">
        <v>3</v>
      </c>
      <c r="T436" s="95">
        <v>3</v>
      </c>
      <c r="U436" s="95">
        <v>3</v>
      </c>
      <c r="V436" s="95">
        <v>3</v>
      </c>
      <c r="W436" s="131">
        <f aca="true" t="shared" si="164" ref="W436:W455">J436+K436+L436+M436+N436+P436+R436+T436+V436</f>
        <v>27</v>
      </c>
      <c r="X436" s="43">
        <v>2024</v>
      </c>
      <c r="Y436" s="140">
        <f aca="true" t="shared" si="165" ref="Y436:Y458">P436-O436</f>
        <v>0</v>
      </c>
      <c r="Z436" s="141">
        <f aca="true" t="shared" si="166" ref="Z436:Z458">R436-Q436</f>
        <v>0</v>
      </c>
      <c r="AA436" s="140">
        <f aca="true" t="shared" si="167" ref="AA436:AA458">T436-S436</f>
        <v>0</v>
      </c>
      <c r="AB436" s="140">
        <f aca="true" t="shared" si="168" ref="AB436:AB458">V436-U436</f>
        <v>0</v>
      </c>
    </row>
    <row r="437" spans="1:28" s="2" customFormat="1" ht="74.25" customHeight="1">
      <c r="A437" s="36" t="s">
        <v>19</v>
      </c>
      <c r="B437" s="37">
        <v>1</v>
      </c>
      <c r="C437" s="37">
        <v>3</v>
      </c>
      <c r="D437" s="37">
        <v>4</v>
      </c>
      <c r="E437" s="37">
        <v>0</v>
      </c>
      <c r="F437" s="37">
        <v>2</v>
      </c>
      <c r="G437" s="37"/>
      <c r="H437" s="40" t="s">
        <v>351</v>
      </c>
      <c r="I437" s="37" t="s">
        <v>21</v>
      </c>
      <c r="J437" s="88">
        <f>J438</f>
        <v>0</v>
      </c>
      <c r="K437" s="88">
        <f>K438</f>
        <v>78.1</v>
      </c>
      <c r="L437" s="88">
        <f>L438</f>
        <v>3275</v>
      </c>
      <c r="M437" s="89">
        <f aca="true" t="shared" si="169" ref="M437:V437">M438+M439</f>
        <v>34500.6</v>
      </c>
      <c r="N437" s="89">
        <v>16808.3</v>
      </c>
      <c r="O437" s="89">
        <v>14241.9</v>
      </c>
      <c r="P437" s="89">
        <f t="shared" si="169"/>
        <v>14241.9</v>
      </c>
      <c r="Q437" s="89">
        <v>59203.8</v>
      </c>
      <c r="R437" s="89">
        <f t="shared" si="169"/>
        <v>59203.8</v>
      </c>
      <c r="S437" s="89">
        <v>72008.1</v>
      </c>
      <c r="T437" s="89">
        <f t="shared" si="169"/>
        <v>72008.1</v>
      </c>
      <c r="U437" s="89">
        <v>26248</v>
      </c>
      <c r="V437" s="89">
        <f t="shared" si="169"/>
        <v>26248</v>
      </c>
      <c r="W437" s="89">
        <f t="shared" si="164"/>
        <v>226363.8</v>
      </c>
      <c r="X437" s="37">
        <v>2024</v>
      </c>
      <c r="Y437" s="140">
        <f t="shared" si="165"/>
        <v>0</v>
      </c>
      <c r="Z437" s="141">
        <f t="shared" si="166"/>
        <v>0</v>
      </c>
      <c r="AA437" s="140">
        <f t="shared" si="167"/>
        <v>0</v>
      </c>
      <c r="AB437" s="140">
        <f t="shared" si="168"/>
        <v>0</v>
      </c>
    </row>
    <row r="438" spans="1:28" s="2" customFormat="1" ht="12.75">
      <c r="A438" s="21" t="s">
        <v>19</v>
      </c>
      <c r="B438" s="22">
        <v>1</v>
      </c>
      <c r="C438" s="22">
        <v>3</v>
      </c>
      <c r="D438" s="22">
        <v>4</v>
      </c>
      <c r="E438" s="22">
        <v>0</v>
      </c>
      <c r="F438" s="22">
        <v>2</v>
      </c>
      <c r="G438" s="22">
        <v>3</v>
      </c>
      <c r="H438" s="26" t="s">
        <v>22</v>
      </c>
      <c r="I438" s="22" t="s">
        <v>21</v>
      </c>
      <c r="J438" s="329">
        <f>200-200</f>
        <v>0</v>
      </c>
      <c r="K438" s="138">
        <v>78.1</v>
      </c>
      <c r="L438" s="64">
        <v>3275</v>
      </c>
      <c r="M438" s="64">
        <v>33904.2</v>
      </c>
      <c r="N438" s="138">
        <v>16808.3</v>
      </c>
      <c r="O438" s="138">
        <v>14241.9</v>
      </c>
      <c r="P438" s="138">
        <v>14241.9</v>
      </c>
      <c r="Q438" s="64">
        <v>59203.8</v>
      </c>
      <c r="R438" s="64">
        <v>59203.8</v>
      </c>
      <c r="S438" s="64">
        <v>72008.1</v>
      </c>
      <c r="T438" s="64">
        <v>72008.1</v>
      </c>
      <c r="U438" s="64">
        <v>26248</v>
      </c>
      <c r="V438" s="64">
        <v>26248</v>
      </c>
      <c r="W438" s="64">
        <f t="shared" si="164"/>
        <v>225767.4</v>
      </c>
      <c r="X438" s="22">
        <v>2024</v>
      </c>
      <c r="Y438" s="140">
        <f t="shared" si="165"/>
        <v>0</v>
      </c>
      <c r="Z438" s="141">
        <f t="shared" si="166"/>
        <v>0</v>
      </c>
      <c r="AA438" s="140">
        <f t="shared" si="167"/>
        <v>0</v>
      </c>
      <c r="AB438" s="140">
        <f t="shared" si="168"/>
        <v>0</v>
      </c>
    </row>
    <row r="439" spans="1:28" s="2" customFormat="1" ht="12.75">
      <c r="A439" s="21" t="s">
        <v>19</v>
      </c>
      <c r="B439" s="22">
        <v>1</v>
      </c>
      <c r="C439" s="22">
        <v>3</v>
      </c>
      <c r="D439" s="22">
        <v>4</v>
      </c>
      <c r="E439" s="22">
        <v>0</v>
      </c>
      <c r="F439" s="22">
        <v>2</v>
      </c>
      <c r="G439" s="22">
        <v>2</v>
      </c>
      <c r="H439" s="26" t="s">
        <v>23</v>
      </c>
      <c r="I439" s="22" t="s">
        <v>21</v>
      </c>
      <c r="J439" s="329">
        <v>0</v>
      </c>
      <c r="K439" s="138">
        <v>0</v>
      </c>
      <c r="L439" s="64">
        <v>0</v>
      </c>
      <c r="M439" s="64">
        <v>596.4</v>
      </c>
      <c r="N439" s="138">
        <v>0</v>
      </c>
      <c r="O439" s="138">
        <v>0</v>
      </c>
      <c r="P439" s="138">
        <v>0</v>
      </c>
      <c r="Q439" s="64">
        <v>0</v>
      </c>
      <c r="R439" s="64">
        <v>0</v>
      </c>
      <c r="S439" s="64">
        <v>0</v>
      </c>
      <c r="T439" s="64">
        <v>0</v>
      </c>
      <c r="U439" s="64">
        <v>0</v>
      </c>
      <c r="V439" s="64">
        <v>0</v>
      </c>
      <c r="W439" s="64">
        <f t="shared" si="164"/>
        <v>596.4</v>
      </c>
      <c r="X439" s="22">
        <v>2019</v>
      </c>
      <c r="Y439" s="140">
        <f t="shared" si="165"/>
        <v>0</v>
      </c>
      <c r="Z439" s="141">
        <f t="shared" si="166"/>
        <v>0</v>
      </c>
      <c r="AA439" s="140">
        <f t="shared" si="167"/>
        <v>0</v>
      </c>
      <c r="AB439" s="140">
        <f t="shared" si="168"/>
        <v>0</v>
      </c>
    </row>
    <row r="440" spans="1:28" ht="25.5">
      <c r="A440" s="21" t="s">
        <v>19</v>
      </c>
      <c r="B440" s="22">
        <v>1</v>
      </c>
      <c r="C440" s="22">
        <v>3</v>
      </c>
      <c r="D440" s="22">
        <v>4</v>
      </c>
      <c r="E440" s="22">
        <v>0</v>
      </c>
      <c r="F440" s="22">
        <v>2</v>
      </c>
      <c r="G440" s="43"/>
      <c r="H440" s="46" t="s">
        <v>352</v>
      </c>
      <c r="I440" s="43" t="s">
        <v>57</v>
      </c>
      <c r="J440" s="131">
        <v>0</v>
      </c>
      <c r="K440" s="131">
        <v>2</v>
      </c>
      <c r="L440" s="93">
        <v>3</v>
      </c>
      <c r="M440" s="93">
        <v>8</v>
      </c>
      <c r="N440" s="131">
        <v>0</v>
      </c>
      <c r="O440" s="131">
        <v>0</v>
      </c>
      <c r="P440" s="131">
        <v>0</v>
      </c>
      <c r="Q440" s="93">
        <v>0</v>
      </c>
      <c r="R440" s="93">
        <v>0</v>
      </c>
      <c r="S440" s="93">
        <v>0</v>
      </c>
      <c r="T440" s="93">
        <v>0</v>
      </c>
      <c r="U440" s="93">
        <v>6</v>
      </c>
      <c r="V440" s="93">
        <v>6</v>
      </c>
      <c r="W440" s="93">
        <f t="shared" si="164"/>
        <v>19</v>
      </c>
      <c r="X440" s="43">
        <v>2024</v>
      </c>
      <c r="Y440" s="140">
        <f t="shared" si="165"/>
        <v>0</v>
      </c>
      <c r="Z440" s="141">
        <f t="shared" si="166"/>
        <v>0</v>
      </c>
      <c r="AA440" s="140">
        <f t="shared" si="167"/>
        <v>0</v>
      </c>
      <c r="AB440" s="140">
        <f t="shared" si="168"/>
        <v>0</v>
      </c>
    </row>
    <row r="441" spans="1:28" s="9" customFormat="1" ht="38.25">
      <c r="A441" s="27" t="s">
        <v>19</v>
      </c>
      <c r="B441" s="28">
        <v>1</v>
      </c>
      <c r="C441" s="28">
        <v>3</v>
      </c>
      <c r="D441" s="28">
        <v>4</v>
      </c>
      <c r="E441" s="28">
        <v>0</v>
      </c>
      <c r="F441" s="28">
        <v>2</v>
      </c>
      <c r="G441" s="30"/>
      <c r="H441" s="41" t="s">
        <v>353</v>
      </c>
      <c r="I441" s="30" t="s">
        <v>57</v>
      </c>
      <c r="J441" s="93">
        <v>0</v>
      </c>
      <c r="K441" s="93">
        <v>0</v>
      </c>
      <c r="L441" s="93">
        <v>1</v>
      </c>
      <c r="M441" s="131">
        <v>52</v>
      </c>
      <c r="N441" s="190">
        <v>1</v>
      </c>
      <c r="O441" s="190">
        <v>0</v>
      </c>
      <c r="P441" s="190">
        <v>0</v>
      </c>
      <c r="Q441" s="190">
        <v>0</v>
      </c>
      <c r="R441" s="190">
        <v>0</v>
      </c>
      <c r="S441" s="131">
        <v>0</v>
      </c>
      <c r="T441" s="131">
        <v>0</v>
      </c>
      <c r="U441" s="131">
        <v>0</v>
      </c>
      <c r="V441" s="131">
        <v>0</v>
      </c>
      <c r="W441" s="93">
        <f t="shared" si="164"/>
        <v>54</v>
      </c>
      <c r="X441" s="30">
        <v>2020</v>
      </c>
      <c r="Y441" s="140">
        <f t="shared" si="165"/>
        <v>0</v>
      </c>
      <c r="Z441" s="141">
        <f t="shared" si="166"/>
        <v>0</v>
      </c>
      <c r="AA441" s="140">
        <f t="shared" si="167"/>
        <v>0</v>
      </c>
      <c r="AB441" s="140">
        <f t="shared" si="168"/>
        <v>0</v>
      </c>
    </row>
    <row r="442" spans="1:28" ht="25.5">
      <c r="A442" s="21" t="s">
        <v>19</v>
      </c>
      <c r="B442" s="22">
        <v>1</v>
      </c>
      <c r="C442" s="22">
        <v>3</v>
      </c>
      <c r="D442" s="22">
        <v>4</v>
      </c>
      <c r="E442" s="22">
        <v>0</v>
      </c>
      <c r="F442" s="22">
        <v>2</v>
      </c>
      <c r="G442" s="43"/>
      <c r="H442" s="46" t="s">
        <v>354</v>
      </c>
      <c r="I442" s="43" t="s">
        <v>57</v>
      </c>
      <c r="J442" s="131">
        <v>0</v>
      </c>
      <c r="K442" s="131">
        <v>0</v>
      </c>
      <c r="L442" s="93">
        <v>0</v>
      </c>
      <c r="M442" s="93">
        <v>3</v>
      </c>
      <c r="N442" s="190">
        <v>3</v>
      </c>
      <c r="O442" s="190">
        <v>0</v>
      </c>
      <c r="P442" s="190">
        <v>0</v>
      </c>
      <c r="Q442" s="190">
        <v>0</v>
      </c>
      <c r="R442" s="190">
        <v>0</v>
      </c>
      <c r="S442" s="93">
        <v>0</v>
      </c>
      <c r="T442" s="93">
        <v>0</v>
      </c>
      <c r="U442" s="93">
        <v>0</v>
      </c>
      <c r="V442" s="93">
        <v>0</v>
      </c>
      <c r="W442" s="93">
        <f t="shared" si="164"/>
        <v>6</v>
      </c>
      <c r="X442" s="43">
        <v>2020</v>
      </c>
      <c r="Y442" s="140">
        <f t="shared" si="165"/>
        <v>0</v>
      </c>
      <c r="Z442" s="141">
        <f t="shared" si="166"/>
        <v>0</v>
      </c>
      <c r="AA442" s="140">
        <f t="shared" si="167"/>
        <v>0</v>
      </c>
      <c r="AB442" s="140">
        <f t="shared" si="168"/>
        <v>0</v>
      </c>
    </row>
    <row r="443" spans="1:28" ht="63.75">
      <c r="A443" s="21" t="s">
        <v>19</v>
      </c>
      <c r="B443" s="22">
        <v>1</v>
      </c>
      <c r="C443" s="22">
        <v>3</v>
      </c>
      <c r="D443" s="22">
        <v>4</v>
      </c>
      <c r="E443" s="22">
        <v>0</v>
      </c>
      <c r="F443" s="22">
        <v>2</v>
      </c>
      <c r="G443" s="43"/>
      <c r="H443" s="46" t="s">
        <v>355</v>
      </c>
      <c r="I443" s="43" t="s">
        <v>57</v>
      </c>
      <c r="J443" s="131">
        <v>0</v>
      </c>
      <c r="K443" s="131">
        <v>0</v>
      </c>
      <c r="L443" s="93">
        <v>65</v>
      </c>
      <c r="M443" s="131">
        <v>62</v>
      </c>
      <c r="N443" s="190">
        <v>0</v>
      </c>
      <c r="O443" s="190">
        <v>0</v>
      </c>
      <c r="P443" s="190">
        <v>0</v>
      </c>
      <c r="Q443" s="190">
        <v>0</v>
      </c>
      <c r="R443" s="190">
        <v>0</v>
      </c>
      <c r="S443" s="131">
        <v>0</v>
      </c>
      <c r="T443" s="131">
        <v>0</v>
      </c>
      <c r="U443" s="131">
        <v>0</v>
      </c>
      <c r="V443" s="131">
        <v>0</v>
      </c>
      <c r="W443" s="93">
        <f t="shared" si="164"/>
        <v>127</v>
      </c>
      <c r="X443" s="43">
        <v>2019</v>
      </c>
      <c r="Y443" s="140">
        <f t="shared" si="165"/>
        <v>0</v>
      </c>
      <c r="Z443" s="141">
        <f t="shared" si="166"/>
        <v>0</v>
      </c>
      <c r="AA443" s="140">
        <f t="shared" si="167"/>
        <v>0</v>
      </c>
      <c r="AB443" s="140">
        <f t="shared" si="168"/>
        <v>0</v>
      </c>
    </row>
    <row r="444" spans="1:28" ht="56.25" customHeight="1">
      <c r="A444" s="21" t="s">
        <v>19</v>
      </c>
      <c r="B444" s="22">
        <v>1</v>
      </c>
      <c r="C444" s="22">
        <v>3</v>
      </c>
      <c r="D444" s="22">
        <v>4</v>
      </c>
      <c r="E444" s="22">
        <v>0</v>
      </c>
      <c r="F444" s="22">
        <v>2</v>
      </c>
      <c r="G444" s="43"/>
      <c r="H444" s="46" t="s">
        <v>356</v>
      </c>
      <c r="I444" s="43" t="s">
        <v>57</v>
      </c>
      <c r="J444" s="131">
        <v>0</v>
      </c>
      <c r="K444" s="131">
        <v>0</v>
      </c>
      <c r="L444" s="93">
        <v>6</v>
      </c>
      <c r="M444" s="93">
        <v>1</v>
      </c>
      <c r="N444" s="190">
        <v>0</v>
      </c>
      <c r="O444" s="190">
        <v>0</v>
      </c>
      <c r="P444" s="190">
        <v>0</v>
      </c>
      <c r="Q444" s="190">
        <v>0</v>
      </c>
      <c r="R444" s="190">
        <v>0</v>
      </c>
      <c r="S444" s="93">
        <v>0</v>
      </c>
      <c r="T444" s="93">
        <v>0</v>
      </c>
      <c r="U444" s="93">
        <v>0</v>
      </c>
      <c r="V444" s="93">
        <v>0</v>
      </c>
      <c r="W444" s="93">
        <f t="shared" si="164"/>
        <v>7</v>
      </c>
      <c r="X444" s="43">
        <v>2019</v>
      </c>
      <c r="Y444" s="140">
        <f t="shared" si="165"/>
        <v>0</v>
      </c>
      <c r="Z444" s="141">
        <f t="shared" si="166"/>
        <v>0</v>
      </c>
      <c r="AA444" s="140">
        <f t="shared" si="167"/>
        <v>0</v>
      </c>
      <c r="AB444" s="140">
        <f t="shared" si="168"/>
        <v>0</v>
      </c>
    </row>
    <row r="445" spans="1:104" s="10" customFormat="1" ht="58.5" customHeight="1">
      <c r="A445" s="21" t="s">
        <v>19</v>
      </c>
      <c r="B445" s="22">
        <v>1</v>
      </c>
      <c r="C445" s="22">
        <v>3</v>
      </c>
      <c r="D445" s="22">
        <v>4</v>
      </c>
      <c r="E445" s="22">
        <v>0</v>
      </c>
      <c r="F445" s="22">
        <v>2</v>
      </c>
      <c r="G445" s="43"/>
      <c r="H445" s="46" t="s">
        <v>357</v>
      </c>
      <c r="I445" s="43" t="s">
        <v>57</v>
      </c>
      <c r="J445" s="131">
        <v>0</v>
      </c>
      <c r="K445" s="131">
        <v>0</v>
      </c>
      <c r="L445" s="131">
        <v>0</v>
      </c>
      <c r="M445" s="131">
        <v>3</v>
      </c>
      <c r="N445" s="190">
        <v>3</v>
      </c>
      <c r="O445" s="190">
        <v>2</v>
      </c>
      <c r="P445" s="190">
        <v>2</v>
      </c>
      <c r="Q445" s="190">
        <v>0</v>
      </c>
      <c r="R445" s="190">
        <v>0</v>
      </c>
      <c r="S445" s="190">
        <v>39</v>
      </c>
      <c r="T445" s="190">
        <v>39</v>
      </c>
      <c r="U445" s="190">
        <v>0</v>
      </c>
      <c r="V445" s="190">
        <v>0</v>
      </c>
      <c r="W445" s="190">
        <f t="shared" si="164"/>
        <v>47</v>
      </c>
      <c r="X445" s="207">
        <v>2023</v>
      </c>
      <c r="Y445" s="140">
        <f t="shared" si="165"/>
        <v>0</v>
      </c>
      <c r="Z445" s="141">
        <f t="shared" si="166"/>
        <v>0</v>
      </c>
      <c r="AA445" s="140">
        <f t="shared" si="167"/>
        <v>0</v>
      </c>
      <c r="AB445" s="140">
        <f t="shared" si="168"/>
        <v>0</v>
      </c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</row>
    <row r="446" spans="1:104" s="10" customFormat="1" ht="51">
      <c r="A446" s="21" t="s">
        <v>19</v>
      </c>
      <c r="B446" s="22">
        <v>1</v>
      </c>
      <c r="C446" s="22">
        <v>3</v>
      </c>
      <c r="D446" s="22">
        <v>4</v>
      </c>
      <c r="E446" s="22">
        <v>0</v>
      </c>
      <c r="F446" s="22">
        <v>2</v>
      </c>
      <c r="G446" s="43"/>
      <c r="H446" s="46" t="s">
        <v>358</v>
      </c>
      <c r="I446" s="43" t="s">
        <v>57</v>
      </c>
      <c r="J446" s="131">
        <v>0</v>
      </c>
      <c r="K446" s="131">
        <v>0</v>
      </c>
      <c r="L446" s="131">
        <v>0</v>
      </c>
      <c r="M446" s="131">
        <v>0</v>
      </c>
      <c r="N446" s="190">
        <v>64</v>
      </c>
      <c r="O446" s="190">
        <v>0</v>
      </c>
      <c r="P446" s="190">
        <v>0</v>
      </c>
      <c r="Q446" s="190">
        <v>0</v>
      </c>
      <c r="R446" s="190">
        <v>0</v>
      </c>
      <c r="S446" s="190">
        <v>0</v>
      </c>
      <c r="T446" s="190">
        <v>0</v>
      </c>
      <c r="U446" s="190">
        <v>0</v>
      </c>
      <c r="V446" s="190">
        <v>0</v>
      </c>
      <c r="W446" s="190">
        <f t="shared" si="164"/>
        <v>64</v>
      </c>
      <c r="X446" s="207">
        <v>2020</v>
      </c>
      <c r="Y446" s="140">
        <f t="shared" si="165"/>
        <v>0</v>
      </c>
      <c r="Z446" s="141">
        <f t="shared" si="166"/>
        <v>0</v>
      </c>
      <c r="AA446" s="140">
        <f t="shared" si="167"/>
        <v>0</v>
      </c>
      <c r="AB446" s="140">
        <f t="shared" si="168"/>
        <v>0</v>
      </c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</row>
    <row r="447" spans="1:104" s="10" customFormat="1" ht="58.5" customHeight="1">
      <c r="A447" s="21" t="s">
        <v>19</v>
      </c>
      <c r="B447" s="22">
        <v>1</v>
      </c>
      <c r="C447" s="22">
        <v>3</v>
      </c>
      <c r="D447" s="22">
        <v>4</v>
      </c>
      <c r="E447" s="22">
        <v>0</v>
      </c>
      <c r="F447" s="22">
        <v>2</v>
      </c>
      <c r="G447" s="43"/>
      <c r="H447" s="46" t="s">
        <v>359</v>
      </c>
      <c r="I447" s="43" t="s">
        <v>57</v>
      </c>
      <c r="J447" s="131">
        <v>0</v>
      </c>
      <c r="K447" s="131">
        <v>0</v>
      </c>
      <c r="L447" s="131">
        <v>0</v>
      </c>
      <c r="M447" s="131">
        <v>0</v>
      </c>
      <c r="N447" s="190">
        <v>5</v>
      </c>
      <c r="O447" s="190">
        <v>0</v>
      </c>
      <c r="P447" s="190">
        <v>0</v>
      </c>
      <c r="Q447" s="190">
        <v>12</v>
      </c>
      <c r="R447" s="190">
        <v>12</v>
      </c>
      <c r="S447" s="190">
        <v>37</v>
      </c>
      <c r="T447" s="190">
        <v>37</v>
      </c>
      <c r="U447" s="190">
        <v>0</v>
      </c>
      <c r="V447" s="190">
        <v>0</v>
      </c>
      <c r="W447" s="190">
        <f t="shared" si="164"/>
        <v>54</v>
      </c>
      <c r="X447" s="207">
        <v>2023</v>
      </c>
      <c r="Y447" s="140">
        <f t="shared" si="165"/>
        <v>0</v>
      </c>
      <c r="Z447" s="141">
        <f t="shared" si="166"/>
        <v>0</v>
      </c>
      <c r="AA447" s="140">
        <f t="shared" si="167"/>
        <v>0</v>
      </c>
      <c r="AB447" s="140">
        <f t="shared" si="168"/>
        <v>0</v>
      </c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</row>
    <row r="448" spans="1:104" s="10" customFormat="1" ht="58.5" customHeight="1">
      <c r="A448" s="21" t="s">
        <v>19</v>
      </c>
      <c r="B448" s="22">
        <v>1</v>
      </c>
      <c r="C448" s="22">
        <v>3</v>
      </c>
      <c r="D448" s="22">
        <v>4</v>
      </c>
      <c r="E448" s="22">
        <v>0</v>
      </c>
      <c r="F448" s="22">
        <v>2</v>
      </c>
      <c r="G448" s="43"/>
      <c r="H448" s="46" t="s">
        <v>360</v>
      </c>
      <c r="I448" s="43" t="s">
        <v>57</v>
      </c>
      <c r="J448" s="131">
        <v>0</v>
      </c>
      <c r="K448" s="131">
        <v>0</v>
      </c>
      <c r="L448" s="131">
        <v>0</v>
      </c>
      <c r="M448" s="131">
        <v>0</v>
      </c>
      <c r="N448" s="190">
        <v>1</v>
      </c>
      <c r="O448" s="190">
        <v>17</v>
      </c>
      <c r="P448" s="190">
        <v>17</v>
      </c>
      <c r="Q448" s="190">
        <v>19</v>
      </c>
      <c r="R448" s="190">
        <v>19</v>
      </c>
      <c r="S448" s="190">
        <v>0</v>
      </c>
      <c r="T448" s="190">
        <v>0</v>
      </c>
      <c r="U448" s="190">
        <v>0</v>
      </c>
      <c r="V448" s="190">
        <v>0</v>
      </c>
      <c r="W448" s="190">
        <f t="shared" si="164"/>
        <v>37</v>
      </c>
      <c r="X448" s="207">
        <v>2022</v>
      </c>
      <c r="Y448" s="140">
        <f t="shared" si="165"/>
        <v>0</v>
      </c>
      <c r="Z448" s="141">
        <f t="shared" si="166"/>
        <v>0</v>
      </c>
      <c r="AA448" s="140">
        <f t="shared" si="167"/>
        <v>0</v>
      </c>
      <c r="AB448" s="140">
        <f t="shared" si="168"/>
        <v>0</v>
      </c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</row>
    <row r="449" spans="1:104" s="10" customFormat="1" ht="58.5" customHeight="1">
      <c r="A449" s="21" t="s">
        <v>19</v>
      </c>
      <c r="B449" s="22">
        <v>1</v>
      </c>
      <c r="C449" s="22">
        <v>3</v>
      </c>
      <c r="D449" s="22">
        <v>4</v>
      </c>
      <c r="E449" s="22">
        <v>0</v>
      </c>
      <c r="F449" s="22">
        <v>2</v>
      </c>
      <c r="G449" s="43"/>
      <c r="H449" s="46" t="s">
        <v>361</v>
      </c>
      <c r="I449" s="43" t="s">
        <v>57</v>
      </c>
      <c r="J449" s="131">
        <v>0</v>
      </c>
      <c r="K449" s="131">
        <v>0</v>
      </c>
      <c r="L449" s="131">
        <v>0</v>
      </c>
      <c r="M449" s="131">
        <v>0</v>
      </c>
      <c r="N449" s="190">
        <v>0</v>
      </c>
      <c r="O449" s="190">
        <v>0</v>
      </c>
      <c r="P449" s="190">
        <v>0</v>
      </c>
      <c r="Q449" s="190">
        <v>1</v>
      </c>
      <c r="R449" s="190">
        <v>1</v>
      </c>
      <c r="S449" s="131">
        <v>0</v>
      </c>
      <c r="T449" s="131">
        <v>0</v>
      </c>
      <c r="U449" s="131">
        <v>0</v>
      </c>
      <c r="V449" s="131">
        <v>0</v>
      </c>
      <c r="W449" s="93">
        <f t="shared" si="164"/>
        <v>1</v>
      </c>
      <c r="X449" s="43">
        <v>2022</v>
      </c>
      <c r="Y449" s="140">
        <f t="shared" si="165"/>
        <v>0</v>
      </c>
      <c r="Z449" s="141">
        <f t="shared" si="166"/>
        <v>0</v>
      </c>
      <c r="AA449" s="140">
        <f t="shared" si="167"/>
        <v>0</v>
      </c>
      <c r="AB449" s="140">
        <f t="shared" si="168"/>
        <v>0</v>
      </c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</row>
    <row r="450" spans="1:104" s="10" customFormat="1" ht="58.5" customHeight="1">
      <c r="A450" s="21" t="s">
        <v>19</v>
      </c>
      <c r="B450" s="22">
        <v>1</v>
      </c>
      <c r="C450" s="22">
        <v>3</v>
      </c>
      <c r="D450" s="22">
        <v>4</v>
      </c>
      <c r="E450" s="22">
        <v>0</v>
      </c>
      <c r="F450" s="22">
        <v>2</v>
      </c>
      <c r="G450" s="43"/>
      <c r="H450" s="46" t="s">
        <v>362</v>
      </c>
      <c r="I450" s="43" t="s">
        <v>57</v>
      </c>
      <c r="J450" s="131">
        <v>0</v>
      </c>
      <c r="K450" s="131">
        <v>0</v>
      </c>
      <c r="L450" s="131">
        <v>0</v>
      </c>
      <c r="M450" s="131">
        <v>0</v>
      </c>
      <c r="N450" s="190">
        <v>0</v>
      </c>
      <c r="O450" s="190">
        <v>0</v>
      </c>
      <c r="P450" s="190">
        <v>0</v>
      </c>
      <c r="Q450" s="190">
        <v>0</v>
      </c>
      <c r="R450" s="190">
        <v>0</v>
      </c>
      <c r="S450" s="131">
        <v>0</v>
      </c>
      <c r="T450" s="131">
        <v>0</v>
      </c>
      <c r="U450" s="131">
        <v>1</v>
      </c>
      <c r="V450" s="131">
        <v>1</v>
      </c>
      <c r="W450" s="93">
        <f t="shared" si="164"/>
        <v>1</v>
      </c>
      <c r="X450" s="43">
        <v>2024</v>
      </c>
      <c r="Y450" s="140">
        <f t="shared" si="165"/>
        <v>0</v>
      </c>
      <c r="Z450" s="141">
        <f t="shared" si="166"/>
        <v>0</v>
      </c>
      <c r="AA450" s="140">
        <f t="shared" si="167"/>
        <v>0</v>
      </c>
      <c r="AB450" s="140">
        <f t="shared" si="168"/>
        <v>0</v>
      </c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</row>
    <row r="451" spans="1:104" s="10" customFormat="1" ht="58.5" customHeight="1">
      <c r="A451" s="21" t="s">
        <v>19</v>
      </c>
      <c r="B451" s="22">
        <v>1</v>
      </c>
      <c r="C451" s="22">
        <v>3</v>
      </c>
      <c r="D451" s="22">
        <v>4</v>
      </c>
      <c r="E451" s="22">
        <v>0</v>
      </c>
      <c r="F451" s="22">
        <v>2</v>
      </c>
      <c r="G451" s="43"/>
      <c r="H451" s="46" t="s">
        <v>363</v>
      </c>
      <c r="I451" s="43" t="s">
        <v>57</v>
      </c>
      <c r="J451" s="131">
        <v>0</v>
      </c>
      <c r="K451" s="131">
        <v>0</v>
      </c>
      <c r="L451" s="131">
        <v>0</v>
      </c>
      <c r="M451" s="131">
        <v>0</v>
      </c>
      <c r="N451" s="190">
        <v>0</v>
      </c>
      <c r="O451" s="190">
        <v>0</v>
      </c>
      <c r="P451" s="190">
        <v>0</v>
      </c>
      <c r="Q451" s="190">
        <v>0</v>
      </c>
      <c r="R451" s="190">
        <v>0</v>
      </c>
      <c r="S451" s="131">
        <v>0</v>
      </c>
      <c r="T451" s="131">
        <v>0</v>
      </c>
      <c r="U451" s="131">
        <v>1</v>
      </c>
      <c r="V451" s="131">
        <v>1</v>
      </c>
      <c r="W451" s="93">
        <f t="shared" si="164"/>
        <v>1</v>
      </c>
      <c r="X451" s="43">
        <v>2024</v>
      </c>
      <c r="Y451" s="140">
        <f t="shared" si="165"/>
        <v>0</v>
      </c>
      <c r="Z451" s="141">
        <f t="shared" si="166"/>
        <v>0</v>
      </c>
      <c r="AA451" s="140">
        <f t="shared" si="167"/>
        <v>0</v>
      </c>
      <c r="AB451" s="140">
        <f t="shared" si="168"/>
        <v>0</v>
      </c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</row>
    <row r="452" spans="1:104" s="10" customFormat="1" ht="58.5" customHeight="1">
      <c r="A452" s="21" t="s">
        <v>19</v>
      </c>
      <c r="B452" s="22">
        <v>1</v>
      </c>
      <c r="C452" s="22">
        <v>3</v>
      </c>
      <c r="D452" s="22">
        <v>4</v>
      </c>
      <c r="E452" s="22">
        <v>0</v>
      </c>
      <c r="F452" s="22">
        <v>2</v>
      </c>
      <c r="G452" s="43"/>
      <c r="H452" s="46" t="s">
        <v>364</v>
      </c>
      <c r="I452" s="43" t="s">
        <v>57</v>
      </c>
      <c r="J452" s="131">
        <v>0</v>
      </c>
      <c r="K452" s="131">
        <v>0</v>
      </c>
      <c r="L452" s="131">
        <v>0</v>
      </c>
      <c r="M452" s="131">
        <v>0</v>
      </c>
      <c r="N452" s="190">
        <v>0</v>
      </c>
      <c r="O452" s="190">
        <v>1</v>
      </c>
      <c r="P452" s="190">
        <v>1</v>
      </c>
      <c r="Q452" s="190">
        <v>0</v>
      </c>
      <c r="R452" s="190">
        <v>0</v>
      </c>
      <c r="S452" s="131">
        <v>26</v>
      </c>
      <c r="T452" s="131">
        <v>26</v>
      </c>
      <c r="U452" s="131">
        <v>0</v>
      </c>
      <c r="V452" s="131">
        <v>0</v>
      </c>
      <c r="W452" s="93">
        <f t="shared" si="164"/>
        <v>27</v>
      </c>
      <c r="X452" s="43">
        <v>2023</v>
      </c>
      <c r="Y452" s="140">
        <f t="shared" si="165"/>
        <v>0</v>
      </c>
      <c r="Z452" s="141">
        <f t="shared" si="166"/>
        <v>0</v>
      </c>
      <c r="AA452" s="140">
        <f t="shared" si="167"/>
        <v>0</v>
      </c>
      <c r="AB452" s="140">
        <f t="shared" si="168"/>
        <v>0</v>
      </c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</row>
    <row r="453" spans="1:104" s="10" customFormat="1" ht="58.5" customHeight="1">
      <c r="A453" s="21" t="s">
        <v>19</v>
      </c>
      <c r="B453" s="22">
        <v>1</v>
      </c>
      <c r="C453" s="22">
        <v>3</v>
      </c>
      <c r="D453" s="22">
        <v>4</v>
      </c>
      <c r="E453" s="22">
        <v>0</v>
      </c>
      <c r="F453" s="22">
        <v>2</v>
      </c>
      <c r="G453" s="43"/>
      <c r="H453" s="46" t="s">
        <v>365</v>
      </c>
      <c r="I453" s="43" t="s">
        <v>57</v>
      </c>
      <c r="J453" s="131">
        <v>0</v>
      </c>
      <c r="K453" s="131">
        <v>0</v>
      </c>
      <c r="L453" s="131">
        <v>0</v>
      </c>
      <c r="M453" s="131">
        <v>0</v>
      </c>
      <c r="N453" s="190">
        <v>0</v>
      </c>
      <c r="O453" s="190">
        <v>0</v>
      </c>
      <c r="P453" s="190">
        <v>0</v>
      </c>
      <c r="Q453" s="190">
        <v>1</v>
      </c>
      <c r="R453" s="190">
        <v>1</v>
      </c>
      <c r="S453" s="131">
        <v>0</v>
      </c>
      <c r="T453" s="131">
        <v>0</v>
      </c>
      <c r="U453" s="131">
        <v>0</v>
      </c>
      <c r="V453" s="131">
        <v>0</v>
      </c>
      <c r="W453" s="93">
        <f t="shared" si="164"/>
        <v>1</v>
      </c>
      <c r="X453" s="43">
        <v>2022</v>
      </c>
      <c r="Y453" s="140">
        <f t="shared" si="165"/>
        <v>0</v>
      </c>
      <c r="Z453" s="141">
        <f t="shared" si="166"/>
        <v>0</v>
      </c>
      <c r="AA453" s="140">
        <f t="shared" si="167"/>
        <v>0</v>
      </c>
      <c r="AB453" s="140">
        <f t="shared" si="168"/>
        <v>0</v>
      </c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</row>
    <row r="454" spans="1:28" s="2" customFormat="1" ht="38.25">
      <c r="A454" s="160" t="s">
        <v>19</v>
      </c>
      <c r="B454" s="34">
        <v>1</v>
      </c>
      <c r="C454" s="34">
        <v>3</v>
      </c>
      <c r="D454" s="34">
        <v>5</v>
      </c>
      <c r="E454" s="34">
        <v>0</v>
      </c>
      <c r="F454" s="34">
        <v>0</v>
      </c>
      <c r="G454" s="34"/>
      <c r="H454" s="35" t="s">
        <v>366</v>
      </c>
      <c r="I454" s="34" t="s">
        <v>21</v>
      </c>
      <c r="J454" s="81">
        <f aca="true" t="shared" si="170" ref="J454:V454">J455</f>
        <v>0</v>
      </c>
      <c r="K454" s="81">
        <f t="shared" si="170"/>
        <v>0</v>
      </c>
      <c r="L454" s="81">
        <f t="shared" si="170"/>
        <v>4118.8</v>
      </c>
      <c r="M454" s="81">
        <f t="shared" si="170"/>
        <v>2867.5</v>
      </c>
      <c r="N454" s="242">
        <v>29304.3</v>
      </c>
      <c r="O454" s="242">
        <v>4046.1</v>
      </c>
      <c r="P454" s="242">
        <f t="shared" si="170"/>
        <v>4046.1</v>
      </c>
      <c r="Q454" s="242">
        <v>1954.9</v>
      </c>
      <c r="R454" s="242">
        <f t="shared" si="170"/>
        <v>1954.9</v>
      </c>
      <c r="S454" s="242">
        <v>5102</v>
      </c>
      <c r="T454" s="242">
        <f t="shared" si="170"/>
        <v>5102</v>
      </c>
      <c r="U454" s="242">
        <v>2884.2</v>
      </c>
      <c r="V454" s="242">
        <f t="shared" si="170"/>
        <v>2884.2</v>
      </c>
      <c r="W454" s="242">
        <f t="shared" si="164"/>
        <v>50277.8</v>
      </c>
      <c r="X454" s="352">
        <v>2024</v>
      </c>
      <c r="Y454" s="140">
        <f t="shared" si="165"/>
        <v>0</v>
      </c>
      <c r="Z454" s="141">
        <f t="shared" si="166"/>
        <v>0</v>
      </c>
      <c r="AA454" s="140">
        <f t="shared" si="167"/>
        <v>0</v>
      </c>
      <c r="AB454" s="140">
        <f t="shared" si="168"/>
        <v>0</v>
      </c>
    </row>
    <row r="455" spans="1:28" s="2" customFormat="1" ht="12.75">
      <c r="A455" s="21" t="s">
        <v>19</v>
      </c>
      <c r="B455" s="22">
        <v>1</v>
      </c>
      <c r="C455" s="22">
        <v>3</v>
      </c>
      <c r="D455" s="22">
        <v>5</v>
      </c>
      <c r="E455" s="22">
        <v>0</v>
      </c>
      <c r="F455" s="22">
        <v>0</v>
      </c>
      <c r="G455" s="22">
        <v>3</v>
      </c>
      <c r="H455" s="26" t="s">
        <v>22</v>
      </c>
      <c r="I455" s="22" t="s">
        <v>21</v>
      </c>
      <c r="J455" s="138">
        <f aca="true" t="shared" si="171" ref="J455:V455">J462</f>
        <v>0</v>
      </c>
      <c r="K455" s="138">
        <f t="shared" si="171"/>
        <v>0</v>
      </c>
      <c r="L455" s="138">
        <f t="shared" si="171"/>
        <v>4118.8</v>
      </c>
      <c r="M455" s="91">
        <f t="shared" si="171"/>
        <v>2867.5</v>
      </c>
      <c r="N455" s="243">
        <v>29304.3</v>
      </c>
      <c r="O455" s="243">
        <v>4046.1</v>
      </c>
      <c r="P455" s="243">
        <f t="shared" si="171"/>
        <v>4046.1</v>
      </c>
      <c r="Q455" s="243">
        <v>1954.9</v>
      </c>
      <c r="R455" s="243">
        <f t="shared" si="171"/>
        <v>1954.9</v>
      </c>
      <c r="S455" s="243">
        <v>5102</v>
      </c>
      <c r="T455" s="243">
        <f t="shared" si="171"/>
        <v>5102</v>
      </c>
      <c r="U455" s="243">
        <v>2884.2</v>
      </c>
      <c r="V455" s="243">
        <f t="shared" si="171"/>
        <v>2884.2</v>
      </c>
      <c r="W455" s="117">
        <f t="shared" si="164"/>
        <v>50277.8</v>
      </c>
      <c r="X455" s="353">
        <v>2024</v>
      </c>
      <c r="Y455" s="140">
        <f t="shared" si="165"/>
        <v>0</v>
      </c>
      <c r="Z455" s="141">
        <f t="shared" si="166"/>
        <v>0</v>
      </c>
      <c r="AA455" s="140">
        <f t="shared" si="167"/>
        <v>0</v>
      </c>
      <c r="AB455" s="140">
        <f t="shared" si="168"/>
        <v>0</v>
      </c>
    </row>
    <row r="456" spans="1:28" ht="51">
      <c r="A456" s="21" t="s">
        <v>19</v>
      </c>
      <c r="B456" s="22">
        <v>1</v>
      </c>
      <c r="C456" s="22">
        <v>3</v>
      </c>
      <c r="D456" s="22">
        <v>5</v>
      </c>
      <c r="E456" s="22">
        <v>0</v>
      </c>
      <c r="F456" s="22">
        <v>0</v>
      </c>
      <c r="G456" s="43"/>
      <c r="H456" s="46" t="s">
        <v>367</v>
      </c>
      <c r="I456" s="43" t="s">
        <v>28</v>
      </c>
      <c r="J456" s="120">
        <v>100</v>
      </c>
      <c r="K456" s="120">
        <v>100</v>
      </c>
      <c r="L456" s="120">
        <v>100</v>
      </c>
      <c r="M456" s="217">
        <v>100</v>
      </c>
      <c r="N456" s="86">
        <v>100</v>
      </c>
      <c r="O456" s="86">
        <v>100</v>
      </c>
      <c r="P456" s="86">
        <v>100</v>
      </c>
      <c r="Q456" s="86">
        <v>100</v>
      </c>
      <c r="R456" s="86">
        <v>100</v>
      </c>
      <c r="S456" s="86">
        <v>100</v>
      </c>
      <c r="T456" s="86">
        <v>100</v>
      </c>
      <c r="U456" s="86">
        <v>100</v>
      </c>
      <c r="V456" s="86">
        <v>100</v>
      </c>
      <c r="W456" s="332">
        <v>100</v>
      </c>
      <c r="X456" s="354">
        <v>2024</v>
      </c>
      <c r="Y456" s="140">
        <f t="shared" si="165"/>
        <v>0</v>
      </c>
      <c r="Z456" s="141">
        <f t="shared" si="166"/>
        <v>0</v>
      </c>
      <c r="AA456" s="140">
        <f t="shared" si="167"/>
        <v>0</v>
      </c>
      <c r="AB456" s="140">
        <f t="shared" si="168"/>
        <v>0</v>
      </c>
    </row>
    <row r="457" spans="1:28" ht="51">
      <c r="A457" s="21" t="s">
        <v>19</v>
      </c>
      <c r="B457" s="22">
        <v>1</v>
      </c>
      <c r="C457" s="22">
        <v>3</v>
      </c>
      <c r="D457" s="22">
        <v>5</v>
      </c>
      <c r="E457" s="22">
        <v>0</v>
      </c>
      <c r="F457" s="22">
        <v>0</v>
      </c>
      <c r="G457" s="43"/>
      <c r="H457" s="46" t="s">
        <v>368</v>
      </c>
      <c r="I457" s="43" t="s">
        <v>28</v>
      </c>
      <c r="J457" s="120">
        <v>84.8</v>
      </c>
      <c r="K457" s="120">
        <v>84.8</v>
      </c>
      <c r="L457" s="70">
        <v>59.2</v>
      </c>
      <c r="M457" s="120">
        <v>9.9</v>
      </c>
      <c r="N457" s="332">
        <v>16.5</v>
      </c>
      <c r="O457" s="332">
        <v>9.8</v>
      </c>
      <c r="P457" s="332">
        <v>9.8</v>
      </c>
      <c r="Q457" s="355">
        <v>13.7</v>
      </c>
      <c r="R457" s="355">
        <v>13.7</v>
      </c>
      <c r="S457" s="355">
        <v>32.7</v>
      </c>
      <c r="T457" s="355">
        <v>32.7</v>
      </c>
      <c r="U457" s="355">
        <v>9.9</v>
      </c>
      <c r="V457" s="355">
        <v>9.9</v>
      </c>
      <c r="W457" s="355">
        <v>100</v>
      </c>
      <c r="X457" s="354">
        <v>2024</v>
      </c>
      <c r="Y457" s="140">
        <f t="shared" si="165"/>
        <v>0</v>
      </c>
      <c r="Z457" s="141">
        <f t="shared" si="166"/>
        <v>0</v>
      </c>
      <c r="AA457" s="140">
        <f t="shared" si="167"/>
        <v>0</v>
      </c>
      <c r="AB457" s="140">
        <f t="shared" si="168"/>
        <v>0</v>
      </c>
    </row>
    <row r="458" spans="1:28" ht="48.75" customHeight="1">
      <c r="A458" s="21"/>
      <c r="B458" s="22">
        <v>1</v>
      </c>
      <c r="C458" s="22">
        <v>3</v>
      </c>
      <c r="D458" s="22">
        <v>5</v>
      </c>
      <c r="E458" s="22">
        <v>0</v>
      </c>
      <c r="F458" s="22">
        <v>0</v>
      </c>
      <c r="G458" s="43"/>
      <c r="H458" s="46" t="s">
        <v>369</v>
      </c>
      <c r="I458" s="43" t="s">
        <v>28</v>
      </c>
      <c r="J458" s="120">
        <v>0</v>
      </c>
      <c r="K458" s="120">
        <v>0</v>
      </c>
      <c r="L458" s="70">
        <v>20.2</v>
      </c>
      <c r="M458" s="120">
        <v>58.7</v>
      </c>
      <c r="N458" s="332">
        <v>72.2</v>
      </c>
      <c r="O458" s="332">
        <v>100</v>
      </c>
      <c r="P458" s="332">
        <v>100</v>
      </c>
      <c r="Q458" s="355">
        <v>10.8</v>
      </c>
      <c r="R458" s="355">
        <v>10.8</v>
      </c>
      <c r="S458" s="355">
        <v>40.8</v>
      </c>
      <c r="T458" s="355">
        <v>40.8</v>
      </c>
      <c r="U458" s="355">
        <v>76</v>
      </c>
      <c r="V458" s="355">
        <v>76</v>
      </c>
      <c r="W458" s="355">
        <v>100</v>
      </c>
      <c r="X458" s="354">
        <v>2024</v>
      </c>
      <c r="Y458" s="140">
        <f t="shared" si="165"/>
        <v>0</v>
      </c>
      <c r="Z458" s="141">
        <f t="shared" si="166"/>
        <v>0</v>
      </c>
      <c r="AA458" s="140">
        <f t="shared" si="167"/>
        <v>0</v>
      </c>
      <c r="AB458" s="140">
        <f t="shared" si="168"/>
        <v>0</v>
      </c>
    </row>
    <row r="459" spans="1:28" ht="51">
      <c r="A459" s="36" t="s">
        <v>19</v>
      </c>
      <c r="B459" s="37">
        <v>1</v>
      </c>
      <c r="C459" s="37">
        <v>3</v>
      </c>
      <c r="D459" s="37">
        <v>5</v>
      </c>
      <c r="E459" s="37">
        <v>0</v>
      </c>
      <c r="F459" s="37">
        <v>1</v>
      </c>
      <c r="G459" s="38"/>
      <c r="H459" s="39" t="s">
        <v>370</v>
      </c>
      <c r="I459" s="38" t="s">
        <v>43</v>
      </c>
      <c r="J459" s="87" t="s">
        <v>44</v>
      </c>
      <c r="K459" s="87" t="s">
        <v>44</v>
      </c>
      <c r="L459" s="87" t="s">
        <v>44</v>
      </c>
      <c r="M459" s="125" t="s">
        <v>44</v>
      </c>
      <c r="N459" s="87" t="s">
        <v>44</v>
      </c>
      <c r="O459" s="87" t="s">
        <v>44</v>
      </c>
      <c r="P459" s="333" t="s">
        <v>44</v>
      </c>
      <c r="Q459" s="125" t="s">
        <v>44</v>
      </c>
      <c r="R459" s="356" t="s">
        <v>44</v>
      </c>
      <c r="S459" s="125" t="s">
        <v>44</v>
      </c>
      <c r="T459" s="356" t="s">
        <v>44</v>
      </c>
      <c r="U459" s="125" t="s">
        <v>44</v>
      </c>
      <c r="V459" s="356" t="s">
        <v>44</v>
      </c>
      <c r="W459" s="87" t="s">
        <v>44</v>
      </c>
      <c r="X459" s="38">
        <v>2024</v>
      </c>
      <c r="Y459" s="140"/>
      <c r="Z459" s="141"/>
      <c r="AA459" s="140"/>
      <c r="AB459" s="140"/>
    </row>
    <row r="460" spans="1:28" ht="38.25">
      <c r="A460" s="21" t="s">
        <v>19</v>
      </c>
      <c r="B460" s="22">
        <v>1</v>
      </c>
      <c r="C460" s="22">
        <v>3</v>
      </c>
      <c r="D460" s="22">
        <v>5</v>
      </c>
      <c r="E460" s="22">
        <v>0</v>
      </c>
      <c r="F460" s="22">
        <v>1</v>
      </c>
      <c r="G460" s="43"/>
      <c r="H460" s="44" t="s">
        <v>371</v>
      </c>
      <c r="I460" s="43" t="s">
        <v>57</v>
      </c>
      <c r="J460" s="131">
        <v>68</v>
      </c>
      <c r="K460" s="131">
        <v>68</v>
      </c>
      <c r="L460" s="131">
        <v>67</v>
      </c>
      <c r="M460" s="95">
        <v>66</v>
      </c>
      <c r="N460" s="190">
        <v>64</v>
      </c>
      <c r="O460" s="190">
        <v>64</v>
      </c>
      <c r="P460" s="334">
        <v>64</v>
      </c>
      <c r="Q460" s="190">
        <v>64</v>
      </c>
      <c r="R460" s="334">
        <v>64</v>
      </c>
      <c r="S460" s="190">
        <v>64</v>
      </c>
      <c r="T460" s="334">
        <v>64</v>
      </c>
      <c r="U460" s="190">
        <v>64</v>
      </c>
      <c r="V460" s="334">
        <v>64</v>
      </c>
      <c r="W460" s="95">
        <v>64</v>
      </c>
      <c r="X460" s="43">
        <v>2024</v>
      </c>
      <c r="Y460" s="140">
        <f aca="true" t="shared" si="172" ref="Y460:Y476">P460-O460</f>
        <v>0</v>
      </c>
      <c r="Z460" s="141">
        <f aca="true" t="shared" si="173" ref="Z460:Z476">R460-Q460</f>
        <v>0</v>
      </c>
      <c r="AA460" s="140">
        <f aca="true" t="shared" si="174" ref="AA460:AA476">T460-S460</f>
        <v>0</v>
      </c>
      <c r="AB460" s="140">
        <f aca="true" t="shared" si="175" ref="AB460:AB476">V460-U460</f>
        <v>0</v>
      </c>
    </row>
    <row r="461" spans="1:28" s="2" customFormat="1" ht="51">
      <c r="A461" s="36" t="s">
        <v>19</v>
      </c>
      <c r="B461" s="37">
        <v>1</v>
      </c>
      <c r="C461" s="37">
        <v>3</v>
      </c>
      <c r="D461" s="37">
        <v>5</v>
      </c>
      <c r="E461" s="37">
        <v>0</v>
      </c>
      <c r="F461" s="37">
        <v>2</v>
      </c>
      <c r="G461" s="37"/>
      <c r="H461" s="40" t="s">
        <v>372</v>
      </c>
      <c r="I461" s="37" t="s">
        <v>21</v>
      </c>
      <c r="J461" s="88">
        <f aca="true" t="shared" si="176" ref="J461:V461">J462</f>
        <v>0</v>
      </c>
      <c r="K461" s="88">
        <f t="shared" si="176"/>
        <v>0</v>
      </c>
      <c r="L461" s="88">
        <f t="shared" si="176"/>
        <v>4118.8</v>
      </c>
      <c r="M461" s="89">
        <f t="shared" si="176"/>
        <v>2867.5</v>
      </c>
      <c r="N461" s="89">
        <v>29304.3</v>
      </c>
      <c r="O461" s="89">
        <v>4046.1</v>
      </c>
      <c r="P461" s="335">
        <f t="shared" si="176"/>
        <v>4046.1</v>
      </c>
      <c r="Q461" s="89">
        <v>1954.9</v>
      </c>
      <c r="R461" s="335">
        <f t="shared" si="176"/>
        <v>1954.9</v>
      </c>
      <c r="S461" s="89">
        <v>5102</v>
      </c>
      <c r="T461" s="335">
        <f t="shared" si="176"/>
        <v>5102</v>
      </c>
      <c r="U461" s="89">
        <v>2884.2</v>
      </c>
      <c r="V461" s="335">
        <f t="shared" si="176"/>
        <v>2884.2</v>
      </c>
      <c r="W461" s="88">
        <f aca="true" t="shared" si="177" ref="W461:W474">J461+K461+L461+M461+N461+P461+R461+T461+V461</f>
        <v>50277.8</v>
      </c>
      <c r="X461" s="37">
        <v>2024</v>
      </c>
      <c r="Y461" s="140">
        <f t="shared" si="172"/>
        <v>0</v>
      </c>
      <c r="Z461" s="141">
        <f t="shared" si="173"/>
        <v>0</v>
      </c>
      <c r="AA461" s="140">
        <f t="shared" si="174"/>
        <v>0</v>
      </c>
      <c r="AB461" s="140">
        <f t="shared" si="175"/>
        <v>0</v>
      </c>
    </row>
    <row r="462" spans="1:28" s="2" customFormat="1" ht="12.75">
      <c r="A462" s="21" t="s">
        <v>19</v>
      </c>
      <c r="B462" s="22">
        <v>1</v>
      </c>
      <c r="C462" s="22">
        <v>3</v>
      </c>
      <c r="D462" s="22">
        <v>5</v>
      </c>
      <c r="E462" s="22">
        <v>0</v>
      </c>
      <c r="F462" s="22">
        <v>2</v>
      </c>
      <c r="G462" s="22">
        <v>3</v>
      </c>
      <c r="H462" s="26" t="s">
        <v>22</v>
      </c>
      <c r="I462" s="22" t="s">
        <v>21</v>
      </c>
      <c r="J462" s="304">
        <v>0</v>
      </c>
      <c r="K462" s="304">
        <v>0</v>
      </c>
      <c r="L462" s="304">
        <v>4118.8</v>
      </c>
      <c r="M462" s="336">
        <v>2867.5</v>
      </c>
      <c r="N462" s="91">
        <v>29304.3</v>
      </c>
      <c r="O462" s="337">
        <v>4046.1</v>
      </c>
      <c r="P462" s="338">
        <v>4046.1</v>
      </c>
      <c r="Q462" s="337">
        <v>1954.9</v>
      </c>
      <c r="R462" s="338">
        <v>1954.9</v>
      </c>
      <c r="S462" s="337">
        <v>5102</v>
      </c>
      <c r="T462" s="338">
        <v>5102</v>
      </c>
      <c r="U462" s="357">
        <v>2884.2</v>
      </c>
      <c r="V462" s="358">
        <v>2884.2</v>
      </c>
      <c r="W462" s="138">
        <f t="shared" si="177"/>
        <v>50277.8</v>
      </c>
      <c r="X462" s="22">
        <v>2024</v>
      </c>
      <c r="Y462" s="140">
        <f t="shared" si="172"/>
        <v>0</v>
      </c>
      <c r="Z462" s="141">
        <f t="shared" si="173"/>
        <v>0</v>
      </c>
      <c r="AA462" s="140">
        <f t="shared" si="174"/>
        <v>0</v>
      </c>
      <c r="AB462" s="140">
        <f t="shared" si="175"/>
        <v>0</v>
      </c>
    </row>
    <row r="463" spans="1:28" ht="52.5" customHeight="1">
      <c r="A463" s="21" t="s">
        <v>19</v>
      </c>
      <c r="B463" s="22">
        <v>1</v>
      </c>
      <c r="C463" s="22">
        <v>3</v>
      </c>
      <c r="D463" s="22">
        <v>5</v>
      </c>
      <c r="E463" s="22">
        <v>0</v>
      </c>
      <c r="F463" s="22">
        <v>2</v>
      </c>
      <c r="G463" s="43"/>
      <c r="H463" s="44" t="s">
        <v>373</v>
      </c>
      <c r="I463" s="43" t="s">
        <v>57</v>
      </c>
      <c r="J463" s="131">
        <v>0</v>
      </c>
      <c r="K463" s="131">
        <v>0</v>
      </c>
      <c r="L463" s="93">
        <v>2550</v>
      </c>
      <c r="M463" s="131">
        <v>426</v>
      </c>
      <c r="N463" s="131">
        <v>723</v>
      </c>
      <c r="O463" s="131">
        <v>421</v>
      </c>
      <c r="P463" s="339">
        <v>421</v>
      </c>
      <c r="Q463" s="131">
        <v>588</v>
      </c>
      <c r="R463" s="339">
        <v>588</v>
      </c>
      <c r="S463" s="93">
        <v>1409</v>
      </c>
      <c r="T463" s="359">
        <v>1409</v>
      </c>
      <c r="U463" s="93">
        <v>426</v>
      </c>
      <c r="V463" s="359">
        <v>426</v>
      </c>
      <c r="W463" s="93">
        <f t="shared" si="177"/>
        <v>6543</v>
      </c>
      <c r="X463" s="43">
        <v>2024</v>
      </c>
      <c r="Y463" s="140">
        <f t="shared" si="172"/>
        <v>0</v>
      </c>
      <c r="Z463" s="141">
        <f t="shared" si="173"/>
        <v>0</v>
      </c>
      <c r="AA463" s="140">
        <f t="shared" si="174"/>
        <v>0</v>
      </c>
      <c r="AB463" s="140">
        <f t="shared" si="175"/>
        <v>0</v>
      </c>
    </row>
    <row r="464" spans="1:28" ht="25.5">
      <c r="A464" s="21" t="s">
        <v>19</v>
      </c>
      <c r="B464" s="22">
        <v>1</v>
      </c>
      <c r="C464" s="22">
        <v>3</v>
      </c>
      <c r="D464" s="22">
        <v>5</v>
      </c>
      <c r="E464" s="22">
        <v>0</v>
      </c>
      <c r="F464" s="22">
        <v>2</v>
      </c>
      <c r="G464" s="43"/>
      <c r="H464" s="44" t="s">
        <v>374</v>
      </c>
      <c r="I464" s="43" t="s">
        <v>57</v>
      </c>
      <c r="J464" s="131">
        <v>0</v>
      </c>
      <c r="K464" s="131">
        <v>0</v>
      </c>
      <c r="L464" s="93">
        <v>0</v>
      </c>
      <c r="M464" s="131">
        <v>55</v>
      </c>
      <c r="N464" s="131">
        <v>514</v>
      </c>
      <c r="O464" s="131">
        <v>0</v>
      </c>
      <c r="P464" s="339">
        <v>0</v>
      </c>
      <c r="Q464" s="131">
        <v>0</v>
      </c>
      <c r="R464" s="339">
        <v>0</v>
      </c>
      <c r="S464" s="93">
        <v>0</v>
      </c>
      <c r="T464" s="359">
        <v>0</v>
      </c>
      <c r="U464" s="93">
        <v>0</v>
      </c>
      <c r="V464" s="359">
        <v>0</v>
      </c>
      <c r="W464" s="93">
        <f t="shared" si="177"/>
        <v>569</v>
      </c>
      <c r="X464" s="43">
        <v>2020</v>
      </c>
      <c r="Y464" s="140">
        <f t="shared" si="172"/>
        <v>0</v>
      </c>
      <c r="Z464" s="141">
        <f t="shared" si="173"/>
        <v>0</v>
      </c>
      <c r="AA464" s="140">
        <f t="shared" si="174"/>
        <v>0</v>
      </c>
      <c r="AB464" s="140">
        <f t="shared" si="175"/>
        <v>0</v>
      </c>
    </row>
    <row r="465" spans="1:28" ht="38.25">
      <c r="A465" s="21" t="s">
        <v>19</v>
      </c>
      <c r="B465" s="22">
        <v>1</v>
      </c>
      <c r="C465" s="22">
        <v>3</v>
      </c>
      <c r="D465" s="22">
        <v>5</v>
      </c>
      <c r="E465" s="22">
        <v>0</v>
      </c>
      <c r="F465" s="22">
        <v>2</v>
      </c>
      <c r="G465" s="43"/>
      <c r="H465" s="44" t="s">
        <v>375</v>
      </c>
      <c r="I465" s="43" t="s">
        <v>48</v>
      </c>
      <c r="J465" s="131">
        <v>0</v>
      </c>
      <c r="K465" s="131">
        <v>0</v>
      </c>
      <c r="L465" s="93">
        <v>1027</v>
      </c>
      <c r="M465" s="131">
        <v>1955</v>
      </c>
      <c r="N465" s="131">
        <v>845</v>
      </c>
      <c r="O465" s="131">
        <v>1731</v>
      </c>
      <c r="P465" s="339">
        <v>1731</v>
      </c>
      <c r="Q465" s="131">
        <v>601</v>
      </c>
      <c r="R465" s="339">
        <v>601</v>
      </c>
      <c r="S465" s="93">
        <v>1668</v>
      </c>
      <c r="T465" s="359">
        <v>1668</v>
      </c>
      <c r="U465" s="93">
        <v>1955</v>
      </c>
      <c r="V465" s="359">
        <v>1955</v>
      </c>
      <c r="W465" s="93">
        <f t="shared" si="177"/>
        <v>9782</v>
      </c>
      <c r="X465" s="43">
        <v>2024</v>
      </c>
      <c r="Y465" s="140">
        <f t="shared" si="172"/>
        <v>0</v>
      </c>
      <c r="Z465" s="141">
        <f t="shared" si="173"/>
        <v>0</v>
      </c>
      <c r="AA465" s="140">
        <f t="shared" si="174"/>
        <v>0</v>
      </c>
      <c r="AB465" s="140">
        <f t="shared" si="175"/>
        <v>0</v>
      </c>
    </row>
    <row r="466" spans="1:28" ht="38.25">
      <c r="A466" s="21" t="s">
        <v>19</v>
      </c>
      <c r="B466" s="22">
        <v>1</v>
      </c>
      <c r="C466" s="22">
        <v>3</v>
      </c>
      <c r="D466" s="22">
        <v>5</v>
      </c>
      <c r="E466" s="22">
        <v>0</v>
      </c>
      <c r="F466" s="22">
        <v>2</v>
      </c>
      <c r="G466" s="43"/>
      <c r="H466" s="44" t="s">
        <v>376</v>
      </c>
      <c r="I466" s="43" t="s">
        <v>57</v>
      </c>
      <c r="J466" s="131">
        <v>0</v>
      </c>
      <c r="K466" s="131">
        <v>0</v>
      </c>
      <c r="L466" s="93">
        <v>0</v>
      </c>
      <c r="M466" s="131">
        <v>0</v>
      </c>
      <c r="N466" s="131">
        <v>64</v>
      </c>
      <c r="O466" s="131">
        <v>20</v>
      </c>
      <c r="P466" s="339">
        <v>20</v>
      </c>
      <c r="Q466" s="131">
        <v>0</v>
      </c>
      <c r="R466" s="339">
        <v>0</v>
      </c>
      <c r="S466" s="93">
        <v>0</v>
      </c>
      <c r="T466" s="359">
        <v>0</v>
      </c>
      <c r="U466" s="93">
        <v>0</v>
      </c>
      <c r="V466" s="359">
        <v>0</v>
      </c>
      <c r="W466" s="93">
        <f t="shared" si="177"/>
        <v>84</v>
      </c>
      <c r="X466" s="43">
        <v>2021</v>
      </c>
      <c r="Y466" s="140">
        <f t="shared" si="172"/>
        <v>0</v>
      </c>
      <c r="Z466" s="141">
        <f t="shared" si="173"/>
        <v>0</v>
      </c>
      <c r="AA466" s="140">
        <f t="shared" si="174"/>
        <v>0</v>
      </c>
      <c r="AB466" s="140">
        <f t="shared" si="175"/>
        <v>0</v>
      </c>
    </row>
    <row r="467" spans="1:28" ht="38.25">
      <c r="A467" s="23" t="s">
        <v>19</v>
      </c>
      <c r="B467" s="24">
        <v>1</v>
      </c>
      <c r="C467" s="24">
        <v>4</v>
      </c>
      <c r="D467" s="24">
        <v>0</v>
      </c>
      <c r="E467" s="24">
        <v>0</v>
      </c>
      <c r="F467" s="24">
        <v>0</v>
      </c>
      <c r="G467" s="24"/>
      <c r="H467" s="25" t="s">
        <v>377</v>
      </c>
      <c r="I467" s="24" t="s">
        <v>21</v>
      </c>
      <c r="J467" s="61">
        <f aca="true" t="shared" si="178" ref="J467:V467">J468+J469+J470</f>
        <v>6563.9</v>
      </c>
      <c r="K467" s="61">
        <f t="shared" si="178"/>
        <v>3385.8</v>
      </c>
      <c r="L467" s="61">
        <f t="shared" si="178"/>
        <v>500</v>
      </c>
      <c r="M467" s="61">
        <f t="shared" si="178"/>
        <v>1928</v>
      </c>
      <c r="N467" s="62">
        <v>581.7</v>
      </c>
      <c r="O467" s="62">
        <v>310</v>
      </c>
      <c r="P467" s="259">
        <f t="shared" si="178"/>
        <v>309.9</v>
      </c>
      <c r="Q467" s="259">
        <v>330</v>
      </c>
      <c r="R467" s="259">
        <f t="shared" si="178"/>
        <v>330</v>
      </c>
      <c r="S467" s="259">
        <v>330</v>
      </c>
      <c r="T467" s="259">
        <f t="shared" si="178"/>
        <v>330</v>
      </c>
      <c r="U467" s="259">
        <v>330</v>
      </c>
      <c r="V467" s="259">
        <f t="shared" si="178"/>
        <v>330</v>
      </c>
      <c r="W467" s="61">
        <f t="shared" si="177"/>
        <v>14259.3</v>
      </c>
      <c r="X467" s="24">
        <v>2024</v>
      </c>
      <c r="Y467" s="140">
        <f t="shared" si="172"/>
        <v>-0.1</v>
      </c>
      <c r="Z467" s="141">
        <f t="shared" si="173"/>
        <v>0</v>
      </c>
      <c r="AA467" s="140">
        <f t="shared" si="174"/>
        <v>0</v>
      </c>
      <c r="AB467" s="140">
        <f t="shared" si="175"/>
        <v>0</v>
      </c>
    </row>
    <row r="468" spans="1:28" ht="12.75">
      <c r="A468" s="21" t="s">
        <v>19</v>
      </c>
      <c r="B468" s="22">
        <v>1</v>
      </c>
      <c r="C468" s="22">
        <v>4</v>
      </c>
      <c r="D468" s="22">
        <v>0</v>
      </c>
      <c r="E468" s="22">
        <v>0</v>
      </c>
      <c r="F468" s="22">
        <v>0</v>
      </c>
      <c r="G468" s="22">
        <v>3</v>
      </c>
      <c r="H468" s="26" t="s">
        <v>22</v>
      </c>
      <c r="I468" s="22" t="s">
        <v>21</v>
      </c>
      <c r="J468" s="340">
        <f aca="true" t="shared" si="179" ref="J468:V468">J472+J486</f>
        <v>603.9</v>
      </c>
      <c r="K468" s="340">
        <f t="shared" si="179"/>
        <v>657.8</v>
      </c>
      <c r="L468" s="340">
        <f t="shared" si="179"/>
        <v>500</v>
      </c>
      <c r="M468" s="340">
        <f t="shared" si="179"/>
        <v>300</v>
      </c>
      <c r="N468" s="341">
        <v>337.1</v>
      </c>
      <c r="O468" s="341">
        <v>310</v>
      </c>
      <c r="P468" s="342">
        <f t="shared" si="179"/>
        <v>309.9</v>
      </c>
      <c r="Q468" s="342">
        <v>330</v>
      </c>
      <c r="R468" s="342">
        <f t="shared" si="179"/>
        <v>330</v>
      </c>
      <c r="S468" s="342">
        <v>330</v>
      </c>
      <c r="T468" s="342">
        <f t="shared" si="179"/>
        <v>330</v>
      </c>
      <c r="U468" s="342">
        <v>330</v>
      </c>
      <c r="V468" s="342">
        <f t="shared" si="179"/>
        <v>330</v>
      </c>
      <c r="W468" s="138">
        <f t="shared" si="177"/>
        <v>3698.7</v>
      </c>
      <c r="X468" s="22">
        <v>2024</v>
      </c>
      <c r="Y468" s="140">
        <f t="shared" si="172"/>
        <v>-0.1</v>
      </c>
      <c r="Z468" s="141">
        <f t="shared" si="173"/>
        <v>0</v>
      </c>
      <c r="AA468" s="140">
        <f t="shared" si="174"/>
        <v>0</v>
      </c>
      <c r="AB468" s="140">
        <f t="shared" si="175"/>
        <v>0</v>
      </c>
    </row>
    <row r="469" spans="1:28" ht="12.75">
      <c r="A469" s="21" t="s">
        <v>19</v>
      </c>
      <c r="B469" s="22">
        <v>1</v>
      </c>
      <c r="C469" s="22">
        <v>4</v>
      </c>
      <c r="D469" s="22">
        <v>0</v>
      </c>
      <c r="E469" s="22">
        <v>0</v>
      </c>
      <c r="F469" s="22">
        <v>0</v>
      </c>
      <c r="G469" s="22">
        <v>2</v>
      </c>
      <c r="H469" s="26" t="s">
        <v>23</v>
      </c>
      <c r="I469" s="43" t="s">
        <v>21</v>
      </c>
      <c r="J469" s="138">
        <f aca="true" t="shared" si="180" ref="J469:M470">J473</f>
        <v>2130.8</v>
      </c>
      <c r="K469" s="138">
        <f t="shared" si="180"/>
        <v>409.2</v>
      </c>
      <c r="L469" s="138">
        <f t="shared" si="180"/>
        <v>0</v>
      </c>
      <c r="M469" s="138">
        <f t="shared" si="180"/>
        <v>162.8</v>
      </c>
      <c r="N469" s="138">
        <v>244.6</v>
      </c>
      <c r="O469" s="91">
        <v>0</v>
      </c>
      <c r="P469" s="262">
        <v>0</v>
      </c>
      <c r="Q469" s="262">
        <v>0</v>
      </c>
      <c r="R469" s="262">
        <v>0</v>
      </c>
      <c r="S469" s="262">
        <v>0</v>
      </c>
      <c r="T469" s="262">
        <f>T473</f>
        <v>0</v>
      </c>
      <c r="U469" s="262">
        <v>0</v>
      </c>
      <c r="V469" s="262">
        <f>V473</f>
        <v>0</v>
      </c>
      <c r="W469" s="138">
        <f t="shared" si="177"/>
        <v>2947.4</v>
      </c>
      <c r="X469" s="22">
        <v>2020</v>
      </c>
      <c r="Y469" s="140">
        <f t="shared" si="172"/>
        <v>0</v>
      </c>
      <c r="Z469" s="141">
        <f t="shared" si="173"/>
        <v>0</v>
      </c>
      <c r="AA469" s="140">
        <f t="shared" si="174"/>
        <v>0</v>
      </c>
      <c r="AB469" s="140">
        <f t="shared" si="175"/>
        <v>0</v>
      </c>
    </row>
    <row r="470" spans="1:28" ht="12.75">
      <c r="A470" s="21" t="s">
        <v>19</v>
      </c>
      <c r="B470" s="22">
        <v>1</v>
      </c>
      <c r="C470" s="22">
        <v>4</v>
      </c>
      <c r="D470" s="22">
        <v>0</v>
      </c>
      <c r="E470" s="22">
        <v>0</v>
      </c>
      <c r="F470" s="22">
        <v>0</v>
      </c>
      <c r="G470" s="22">
        <v>1</v>
      </c>
      <c r="H470" s="26" t="s">
        <v>24</v>
      </c>
      <c r="I470" s="43" t="s">
        <v>21</v>
      </c>
      <c r="J470" s="138">
        <f t="shared" si="180"/>
        <v>3829.2</v>
      </c>
      <c r="K470" s="138">
        <f t="shared" si="180"/>
        <v>2318.8</v>
      </c>
      <c r="L470" s="138">
        <f t="shared" si="180"/>
        <v>0</v>
      </c>
      <c r="M470" s="138">
        <f t="shared" si="180"/>
        <v>1465.2</v>
      </c>
      <c r="N470" s="138">
        <v>0</v>
      </c>
      <c r="O470" s="91">
        <v>0</v>
      </c>
      <c r="P470" s="262">
        <v>0</v>
      </c>
      <c r="Q470" s="262">
        <v>0</v>
      </c>
      <c r="R470" s="262">
        <v>0</v>
      </c>
      <c r="S470" s="262">
        <v>0</v>
      </c>
      <c r="T470" s="262">
        <f>T474</f>
        <v>0</v>
      </c>
      <c r="U470" s="262">
        <v>0</v>
      </c>
      <c r="V470" s="262">
        <f>V474</f>
        <v>0</v>
      </c>
      <c r="W470" s="138">
        <f t="shared" si="177"/>
        <v>7613.2</v>
      </c>
      <c r="X470" s="22">
        <v>2019</v>
      </c>
      <c r="Y470" s="140">
        <f t="shared" si="172"/>
        <v>0</v>
      </c>
      <c r="Z470" s="141">
        <f t="shared" si="173"/>
        <v>0</v>
      </c>
      <c r="AA470" s="140">
        <f t="shared" si="174"/>
        <v>0</v>
      </c>
      <c r="AB470" s="140">
        <f t="shared" si="175"/>
        <v>0</v>
      </c>
    </row>
    <row r="471" spans="1:28" s="2" customFormat="1" ht="63.75">
      <c r="A471" s="160" t="s">
        <v>19</v>
      </c>
      <c r="B471" s="34">
        <v>1</v>
      </c>
      <c r="C471" s="34">
        <v>4</v>
      </c>
      <c r="D471" s="34">
        <v>1</v>
      </c>
      <c r="E471" s="34">
        <v>0</v>
      </c>
      <c r="F471" s="34">
        <v>0</v>
      </c>
      <c r="G471" s="34"/>
      <c r="H471" s="35" t="s">
        <v>378</v>
      </c>
      <c r="I471" s="34" t="s">
        <v>21</v>
      </c>
      <c r="J471" s="81">
        <f aca="true" t="shared" si="181" ref="J471:V471">J472+J473+J474</f>
        <v>6563.9</v>
      </c>
      <c r="K471" s="81">
        <f t="shared" si="181"/>
        <v>3365.8</v>
      </c>
      <c r="L471" s="81">
        <f t="shared" si="181"/>
        <v>476</v>
      </c>
      <c r="M471" s="81">
        <f t="shared" si="181"/>
        <v>1908</v>
      </c>
      <c r="N471" s="81">
        <v>561.7</v>
      </c>
      <c r="O471" s="81">
        <v>280</v>
      </c>
      <c r="P471" s="261">
        <f t="shared" si="181"/>
        <v>279.9</v>
      </c>
      <c r="Q471" s="261">
        <v>300</v>
      </c>
      <c r="R471" s="261">
        <f t="shared" si="181"/>
        <v>300</v>
      </c>
      <c r="S471" s="261">
        <v>300</v>
      </c>
      <c r="T471" s="261">
        <f t="shared" si="181"/>
        <v>300</v>
      </c>
      <c r="U471" s="261">
        <v>300</v>
      </c>
      <c r="V471" s="261">
        <f t="shared" si="181"/>
        <v>300</v>
      </c>
      <c r="W471" s="81">
        <f t="shared" si="177"/>
        <v>14055.3</v>
      </c>
      <c r="X471" s="34">
        <v>2024</v>
      </c>
      <c r="Y471" s="140">
        <f t="shared" si="172"/>
        <v>-0.1</v>
      </c>
      <c r="Z471" s="141">
        <f t="shared" si="173"/>
        <v>0</v>
      </c>
      <c r="AA471" s="140">
        <f t="shared" si="174"/>
        <v>0</v>
      </c>
      <c r="AB471" s="140">
        <f t="shared" si="175"/>
        <v>0</v>
      </c>
    </row>
    <row r="472" spans="1:28" s="2" customFormat="1" ht="12.75">
      <c r="A472" s="21" t="s">
        <v>19</v>
      </c>
      <c r="B472" s="22">
        <v>1</v>
      </c>
      <c r="C472" s="22">
        <v>4</v>
      </c>
      <c r="D472" s="22">
        <v>1</v>
      </c>
      <c r="E472" s="22">
        <v>0</v>
      </c>
      <c r="F472" s="22">
        <v>0</v>
      </c>
      <c r="G472" s="22">
        <v>3</v>
      </c>
      <c r="H472" s="26" t="s">
        <v>22</v>
      </c>
      <c r="I472" s="22" t="s">
        <v>21</v>
      </c>
      <c r="J472" s="138">
        <f aca="true" t="shared" si="182" ref="J472:V472">J480</f>
        <v>603.9</v>
      </c>
      <c r="K472" s="138">
        <f t="shared" si="182"/>
        <v>637.8</v>
      </c>
      <c r="L472" s="138">
        <f t="shared" si="182"/>
        <v>476</v>
      </c>
      <c r="M472" s="138">
        <f t="shared" si="182"/>
        <v>280</v>
      </c>
      <c r="N472" s="91">
        <v>317.1</v>
      </c>
      <c r="O472" s="91">
        <v>280</v>
      </c>
      <c r="P472" s="262">
        <f t="shared" si="182"/>
        <v>279.9</v>
      </c>
      <c r="Q472" s="262">
        <v>300</v>
      </c>
      <c r="R472" s="262">
        <f t="shared" si="182"/>
        <v>300</v>
      </c>
      <c r="S472" s="262">
        <v>300</v>
      </c>
      <c r="T472" s="262">
        <f t="shared" si="182"/>
        <v>300</v>
      </c>
      <c r="U472" s="262">
        <v>300</v>
      </c>
      <c r="V472" s="262">
        <f t="shared" si="182"/>
        <v>300</v>
      </c>
      <c r="W472" s="138">
        <f t="shared" si="177"/>
        <v>3494.7</v>
      </c>
      <c r="X472" s="310">
        <v>2024</v>
      </c>
      <c r="Y472" s="140">
        <f t="shared" si="172"/>
        <v>-0.1</v>
      </c>
      <c r="Z472" s="141">
        <f t="shared" si="173"/>
        <v>0</v>
      </c>
      <c r="AA472" s="140">
        <f t="shared" si="174"/>
        <v>0</v>
      </c>
      <c r="AB472" s="140">
        <f t="shared" si="175"/>
        <v>0</v>
      </c>
    </row>
    <row r="473" spans="1:28" s="2" customFormat="1" ht="12.75">
      <c r="A473" s="21" t="s">
        <v>19</v>
      </c>
      <c r="B473" s="22">
        <v>1</v>
      </c>
      <c r="C473" s="22">
        <v>4</v>
      </c>
      <c r="D473" s="22">
        <v>1</v>
      </c>
      <c r="E473" s="22">
        <v>0</v>
      </c>
      <c r="F473" s="22">
        <v>0</v>
      </c>
      <c r="G473" s="22">
        <v>2</v>
      </c>
      <c r="H473" s="26" t="s">
        <v>23</v>
      </c>
      <c r="I473" s="22" t="s">
        <v>21</v>
      </c>
      <c r="J473" s="138">
        <f>J481</f>
        <v>2130.8</v>
      </c>
      <c r="K473" s="138">
        <f aca="true" t="shared" si="183" ref="K473:M474">K481</f>
        <v>409.2</v>
      </c>
      <c r="L473" s="138">
        <f t="shared" si="183"/>
        <v>0</v>
      </c>
      <c r="M473" s="138">
        <f t="shared" si="183"/>
        <v>162.8</v>
      </c>
      <c r="N473" s="91">
        <v>244.6</v>
      </c>
      <c r="O473" s="91">
        <v>0</v>
      </c>
      <c r="P473" s="262">
        <v>0</v>
      </c>
      <c r="Q473" s="262">
        <v>0</v>
      </c>
      <c r="R473" s="262">
        <v>0</v>
      </c>
      <c r="S473" s="262">
        <v>0</v>
      </c>
      <c r="T473" s="262">
        <v>0</v>
      </c>
      <c r="U473" s="262">
        <v>0</v>
      </c>
      <c r="V473" s="262">
        <v>0</v>
      </c>
      <c r="W473" s="138">
        <f t="shared" si="177"/>
        <v>2947.4</v>
      </c>
      <c r="X473" s="22">
        <v>2020</v>
      </c>
      <c r="Y473" s="140">
        <f t="shared" si="172"/>
        <v>0</v>
      </c>
      <c r="Z473" s="141">
        <f t="shared" si="173"/>
        <v>0</v>
      </c>
      <c r="AA473" s="140">
        <f t="shared" si="174"/>
        <v>0</v>
      </c>
      <c r="AB473" s="140">
        <f t="shared" si="175"/>
        <v>0</v>
      </c>
    </row>
    <row r="474" spans="1:28" s="2" customFormat="1" ht="12.75">
      <c r="A474" s="21" t="s">
        <v>19</v>
      </c>
      <c r="B474" s="22">
        <v>1</v>
      </c>
      <c r="C474" s="22">
        <v>4</v>
      </c>
      <c r="D474" s="22">
        <v>1</v>
      </c>
      <c r="E474" s="22">
        <v>0</v>
      </c>
      <c r="F474" s="22">
        <v>0</v>
      </c>
      <c r="G474" s="22">
        <v>1</v>
      </c>
      <c r="H474" s="26" t="s">
        <v>24</v>
      </c>
      <c r="I474" s="22" t="s">
        <v>21</v>
      </c>
      <c r="J474" s="138">
        <f>J482</f>
        <v>3829.2</v>
      </c>
      <c r="K474" s="138">
        <f t="shared" si="183"/>
        <v>2318.8</v>
      </c>
      <c r="L474" s="138">
        <f t="shared" si="183"/>
        <v>0</v>
      </c>
      <c r="M474" s="138">
        <f t="shared" si="183"/>
        <v>1465.2</v>
      </c>
      <c r="N474" s="91">
        <v>0</v>
      </c>
      <c r="O474" s="91">
        <v>0</v>
      </c>
      <c r="P474" s="262">
        <v>0</v>
      </c>
      <c r="Q474" s="262">
        <v>0</v>
      </c>
      <c r="R474" s="262">
        <v>0</v>
      </c>
      <c r="S474" s="262">
        <v>0</v>
      </c>
      <c r="T474" s="262">
        <v>0</v>
      </c>
      <c r="U474" s="262">
        <v>0</v>
      </c>
      <c r="V474" s="262">
        <v>0</v>
      </c>
      <c r="W474" s="138">
        <f t="shared" si="177"/>
        <v>7613.2</v>
      </c>
      <c r="X474" s="22">
        <v>2019</v>
      </c>
      <c r="Y474" s="140">
        <f t="shared" si="172"/>
        <v>0</v>
      </c>
      <c r="Z474" s="141">
        <f t="shared" si="173"/>
        <v>0</v>
      </c>
      <c r="AA474" s="140">
        <f t="shared" si="174"/>
        <v>0</v>
      </c>
      <c r="AB474" s="140">
        <f t="shared" si="175"/>
        <v>0</v>
      </c>
    </row>
    <row r="475" spans="1:28" ht="78" customHeight="1">
      <c r="A475" s="21" t="s">
        <v>19</v>
      </c>
      <c r="B475" s="22">
        <v>1</v>
      </c>
      <c r="C475" s="22">
        <v>4</v>
      </c>
      <c r="D475" s="22">
        <v>1</v>
      </c>
      <c r="E475" s="22">
        <v>0</v>
      </c>
      <c r="F475" s="22">
        <v>0</v>
      </c>
      <c r="G475" s="43"/>
      <c r="H475" s="44" t="s">
        <v>379</v>
      </c>
      <c r="I475" s="43" t="s">
        <v>28</v>
      </c>
      <c r="J475" s="120">
        <v>97</v>
      </c>
      <c r="K475" s="120">
        <v>97.2</v>
      </c>
      <c r="L475" s="70">
        <v>100</v>
      </c>
      <c r="M475" s="70">
        <v>100</v>
      </c>
      <c r="N475" s="120">
        <v>100</v>
      </c>
      <c r="O475" s="120">
        <v>100</v>
      </c>
      <c r="P475" s="297">
        <v>100</v>
      </c>
      <c r="Q475" s="311">
        <v>100</v>
      </c>
      <c r="R475" s="311">
        <v>100</v>
      </c>
      <c r="S475" s="311">
        <v>100</v>
      </c>
      <c r="T475" s="311">
        <v>100</v>
      </c>
      <c r="U475" s="311">
        <v>100</v>
      </c>
      <c r="V475" s="311">
        <v>100</v>
      </c>
      <c r="W475" s="70">
        <v>100</v>
      </c>
      <c r="X475" s="43">
        <v>2024</v>
      </c>
      <c r="Y475" s="140">
        <f t="shared" si="172"/>
        <v>0</v>
      </c>
      <c r="Z475" s="141">
        <f t="shared" si="173"/>
        <v>0</v>
      </c>
      <c r="AA475" s="140">
        <f t="shared" si="174"/>
        <v>0</v>
      </c>
      <c r="AB475" s="140">
        <f t="shared" si="175"/>
        <v>0</v>
      </c>
    </row>
    <row r="476" spans="1:28" ht="63.75">
      <c r="A476" s="21" t="s">
        <v>19</v>
      </c>
      <c r="B476" s="22">
        <v>1</v>
      </c>
      <c r="C476" s="22">
        <v>4</v>
      </c>
      <c r="D476" s="22">
        <v>1</v>
      </c>
      <c r="E476" s="22">
        <v>0</v>
      </c>
      <c r="F476" s="22">
        <v>0</v>
      </c>
      <c r="G476" s="43"/>
      <c r="H476" s="44" t="s">
        <v>380</v>
      </c>
      <c r="I476" s="43" t="s">
        <v>28</v>
      </c>
      <c r="J476" s="120">
        <v>3.8</v>
      </c>
      <c r="K476" s="120">
        <v>3.8</v>
      </c>
      <c r="L476" s="70">
        <v>3.7</v>
      </c>
      <c r="M476" s="70">
        <v>3.7</v>
      </c>
      <c r="N476" s="120">
        <v>3.6</v>
      </c>
      <c r="O476" s="120">
        <v>3.5</v>
      </c>
      <c r="P476" s="297">
        <v>3.5</v>
      </c>
      <c r="Q476" s="311">
        <v>3.5</v>
      </c>
      <c r="R476" s="311">
        <v>3.5</v>
      </c>
      <c r="S476" s="311">
        <v>3.5</v>
      </c>
      <c r="T476" s="311">
        <v>3.5</v>
      </c>
      <c r="U476" s="311">
        <v>3.5</v>
      </c>
      <c r="V476" s="311">
        <v>3.5</v>
      </c>
      <c r="W476" s="70">
        <v>3.5</v>
      </c>
      <c r="X476" s="43">
        <v>2024</v>
      </c>
      <c r="Y476" s="140">
        <f t="shared" si="172"/>
        <v>0</v>
      </c>
      <c r="Z476" s="141">
        <f t="shared" si="173"/>
        <v>0</v>
      </c>
      <c r="AA476" s="140">
        <f t="shared" si="174"/>
        <v>0</v>
      </c>
      <c r="AB476" s="140">
        <f t="shared" si="175"/>
        <v>0</v>
      </c>
    </row>
    <row r="477" spans="1:28" ht="38.25">
      <c r="A477" s="36" t="s">
        <v>19</v>
      </c>
      <c r="B477" s="37">
        <v>1</v>
      </c>
      <c r="C477" s="37">
        <v>4</v>
      </c>
      <c r="D477" s="37">
        <v>1</v>
      </c>
      <c r="E477" s="37">
        <v>0</v>
      </c>
      <c r="F477" s="37">
        <v>1</v>
      </c>
      <c r="G477" s="38"/>
      <c r="H477" s="39" t="s">
        <v>381</v>
      </c>
      <c r="I477" s="38" t="s">
        <v>43</v>
      </c>
      <c r="J477" s="87" t="s">
        <v>44</v>
      </c>
      <c r="K477" s="87" t="s">
        <v>44</v>
      </c>
      <c r="L477" s="88" t="s">
        <v>44</v>
      </c>
      <c r="M477" s="125" t="s">
        <v>44</v>
      </c>
      <c r="N477" s="87" t="s">
        <v>44</v>
      </c>
      <c r="O477" s="87" t="s">
        <v>44</v>
      </c>
      <c r="P477" s="343" t="s">
        <v>44</v>
      </c>
      <c r="Q477" s="265" t="s">
        <v>44</v>
      </c>
      <c r="R477" s="265" t="s">
        <v>44</v>
      </c>
      <c r="S477" s="265" t="s">
        <v>44</v>
      </c>
      <c r="T477" s="265" t="s">
        <v>44</v>
      </c>
      <c r="U477" s="265" t="s">
        <v>44</v>
      </c>
      <c r="V477" s="265" t="s">
        <v>44</v>
      </c>
      <c r="W477" s="87" t="s">
        <v>44</v>
      </c>
      <c r="X477" s="38">
        <v>2024</v>
      </c>
      <c r="Y477" s="140"/>
      <c r="Z477" s="141"/>
      <c r="AA477" s="140"/>
      <c r="AB477" s="140"/>
    </row>
    <row r="478" spans="1:28" ht="38.25">
      <c r="A478" s="21" t="s">
        <v>19</v>
      </c>
      <c r="B478" s="22">
        <v>1</v>
      </c>
      <c r="C478" s="22">
        <v>4</v>
      </c>
      <c r="D478" s="22">
        <v>1</v>
      </c>
      <c r="E478" s="22">
        <v>0</v>
      </c>
      <c r="F478" s="22">
        <v>1</v>
      </c>
      <c r="G478" s="43"/>
      <c r="H478" s="44" t="s">
        <v>382</v>
      </c>
      <c r="I478" s="43" t="s">
        <v>57</v>
      </c>
      <c r="J478" s="131">
        <v>1</v>
      </c>
      <c r="K478" s="131">
        <v>1</v>
      </c>
      <c r="L478" s="131">
        <v>1</v>
      </c>
      <c r="M478" s="95">
        <v>1</v>
      </c>
      <c r="N478" s="95">
        <v>1</v>
      </c>
      <c r="O478" s="95">
        <v>1</v>
      </c>
      <c r="P478" s="270">
        <v>1</v>
      </c>
      <c r="Q478" s="270">
        <v>1</v>
      </c>
      <c r="R478" s="270">
        <v>1</v>
      </c>
      <c r="S478" s="270">
        <v>1</v>
      </c>
      <c r="T478" s="270">
        <v>1</v>
      </c>
      <c r="U478" s="270">
        <v>1</v>
      </c>
      <c r="V478" s="270">
        <v>1</v>
      </c>
      <c r="W478" s="131">
        <f>J478+K478+L478+M478+N478+P478+R478+T478+V478</f>
        <v>9</v>
      </c>
      <c r="X478" s="43">
        <v>2024</v>
      </c>
      <c r="Y478" s="140">
        <f aca="true" t="shared" si="184" ref="Y478:Y488">P478-O478</f>
        <v>0</v>
      </c>
      <c r="Z478" s="141">
        <f aca="true" t="shared" si="185" ref="Z478:Z488">R478-Q478</f>
        <v>0</v>
      </c>
      <c r="AA478" s="140">
        <f aca="true" t="shared" si="186" ref="AA478:AA488">T478-S478</f>
        <v>0</v>
      </c>
      <c r="AB478" s="140">
        <f aca="true" t="shared" si="187" ref="AB478:AB488">V478-U478</f>
        <v>0</v>
      </c>
    </row>
    <row r="479" spans="1:28" s="2" customFormat="1" ht="51">
      <c r="A479" s="36" t="s">
        <v>19</v>
      </c>
      <c r="B479" s="37">
        <v>1</v>
      </c>
      <c r="C479" s="37">
        <v>4</v>
      </c>
      <c r="D479" s="37">
        <v>1</v>
      </c>
      <c r="E479" s="37">
        <v>0</v>
      </c>
      <c r="F479" s="37">
        <v>2</v>
      </c>
      <c r="G479" s="37"/>
      <c r="H479" s="40" t="s">
        <v>383</v>
      </c>
      <c r="I479" s="37" t="s">
        <v>21</v>
      </c>
      <c r="J479" s="88">
        <f>J480+J481+J482</f>
        <v>6563.9</v>
      </c>
      <c r="K479" s="88">
        <f>K480+K481+K482</f>
        <v>3365.8</v>
      </c>
      <c r="L479" s="88">
        <f>L480</f>
        <v>476</v>
      </c>
      <c r="M479" s="89">
        <f>M480+M482+M481</f>
        <v>1908</v>
      </c>
      <c r="N479" s="88">
        <v>561.7</v>
      </c>
      <c r="O479" s="88">
        <v>280</v>
      </c>
      <c r="P479" s="344">
        <f>P480+P481+P482</f>
        <v>279.9</v>
      </c>
      <c r="Q479" s="306">
        <v>300</v>
      </c>
      <c r="R479" s="306">
        <f>R480+R481+R482</f>
        <v>300</v>
      </c>
      <c r="S479" s="306">
        <v>300</v>
      </c>
      <c r="T479" s="306">
        <f>T480+T481+T482</f>
        <v>300</v>
      </c>
      <c r="U479" s="306">
        <v>300</v>
      </c>
      <c r="V479" s="306">
        <f>V480+V481+V482</f>
        <v>300</v>
      </c>
      <c r="W479" s="88">
        <f>J479+K479+L479+M479+N479+P479+R479+T479+V479</f>
        <v>14055.3</v>
      </c>
      <c r="X479" s="37">
        <v>2024</v>
      </c>
      <c r="Y479" s="140">
        <f t="shared" si="184"/>
        <v>-0.1</v>
      </c>
      <c r="Z479" s="141">
        <f t="shared" si="185"/>
        <v>0</v>
      </c>
      <c r="AA479" s="140">
        <f t="shared" si="186"/>
        <v>0</v>
      </c>
      <c r="AB479" s="140">
        <f t="shared" si="187"/>
        <v>0</v>
      </c>
    </row>
    <row r="480" spans="1:28" s="2" customFormat="1" ht="12.75">
      <c r="A480" s="21" t="s">
        <v>19</v>
      </c>
      <c r="B480" s="22">
        <v>1</v>
      </c>
      <c r="C480" s="22">
        <v>4</v>
      </c>
      <c r="D480" s="22">
        <v>1</v>
      </c>
      <c r="E480" s="22">
        <v>0</v>
      </c>
      <c r="F480" s="22">
        <v>2</v>
      </c>
      <c r="G480" s="22">
        <v>3</v>
      </c>
      <c r="H480" s="26" t="s">
        <v>22</v>
      </c>
      <c r="I480" s="22" t="s">
        <v>21</v>
      </c>
      <c r="J480" s="304">
        <f>243.9+360</f>
        <v>603.9</v>
      </c>
      <c r="K480" s="304">
        <f>387.8+250</f>
        <v>637.8</v>
      </c>
      <c r="L480" s="304">
        <v>476</v>
      </c>
      <c r="M480" s="336">
        <v>280</v>
      </c>
      <c r="N480" s="336">
        <v>317.1</v>
      </c>
      <c r="O480" s="336">
        <v>280</v>
      </c>
      <c r="P480" s="345">
        <v>279.9</v>
      </c>
      <c r="Q480" s="360">
        <v>300</v>
      </c>
      <c r="R480" s="360">
        <v>300</v>
      </c>
      <c r="S480" s="360">
        <v>300</v>
      </c>
      <c r="T480" s="360">
        <v>300</v>
      </c>
      <c r="U480" s="360">
        <v>300</v>
      </c>
      <c r="V480" s="360">
        <v>300</v>
      </c>
      <c r="W480" s="138">
        <f>J480+K480+L480+M480+N480+P480+R480+T480+V480</f>
        <v>3494.7</v>
      </c>
      <c r="X480" s="22">
        <v>2024</v>
      </c>
      <c r="Y480" s="140">
        <f t="shared" si="184"/>
        <v>-0.1</v>
      </c>
      <c r="Z480" s="141">
        <f t="shared" si="185"/>
        <v>0</v>
      </c>
      <c r="AA480" s="140">
        <f t="shared" si="186"/>
        <v>0</v>
      </c>
      <c r="AB480" s="140">
        <f t="shared" si="187"/>
        <v>0</v>
      </c>
    </row>
    <row r="481" spans="1:28" s="2" customFormat="1" ht="12.75">
      <c r="A481" s="21" t="s">
        <v>19</v>
      </c>
      <c r="B481" s="22">
        <v>1</v>
      </c>
      <c r="C481" s="22">
        <v>4</v>
      </c>
      <c r="D481" s="22">
        <v>1</v>
      </c>
      <c r="E481" s="22">
        <v>0</v>
      </c>
      <c r="F481" s="22">
        <v>2</v>
      </c>
      <c r="G481" s="22">
        <v>2</v>
      </c>
      <c r="H481" s="26" t="s">
        <v>23</v>
      </c>
      <c r="I481" s="22" t="s">
        <v>21</v>
      </c>
      <c r="J481" s="138">
        <f>932.6+798.2+400</f>
        <v>2130.8</v>
      </c>
      <c r="K481" s="138">
        <v>409.2</v>
      </c>
      <c r="L481" s="138">
        <v>0</v>
      </c>
      <c r="M481" s="91">
        <v>162.8</v>
      </c>
      <c r="N481" s="91">
        <v>244.6</v>
      </c>
      <c r="O481" s="91">
        <v>0</v>
      </c>
      <c r="P481" s="262">
        <v>0</v>
      </c>
      <c r="Q481" s="262">
        <v>0</v>
      </c>
      <c r="R481" s="262">
        <v>0</v>
      </c>
      <c r="S481" s="262">
        <v>0</v>
      </c>
      <c r="T481" s="262">
        <v>0</v>
      </c>
      <c r="U481" s="262">
        <v>0</v>
      </c>
      <c r="V481" s="262">
        <v>0</v>
      </c>
      <c r="W481" s="138">
        <f>J481+K481+L481+M481+N481+P481+R481+T481+V481</f>
        <v>2947.4</v>
      </c>
      <c r="X481" s="22">
        <v>2020</v>
      </c>
      <c r="Y481" s="140">
        <f t="shared" si="184"/>
        <v>0</v>
      </c>
      <c r="Z481" s="141">
        <f t="shared" si="185"/>
        <v>0</v>
      </c>
      <c r="AA481" s="140">
        <f t="shared" si="186"/>
        <v>0</v>
      </c>
      <c r="AB481" s="140">
        <f t="shared" si="187"/>
        <v>0</v>
      </c>
    </row>
    <row r="482" spans="1:28" s="2" customFormat="1" ht="12.75">
      <c r="A482" s="21" t="s">
        <v>19</v>
      </c>
      <c r="B482" s="22">
        <v>1</v>
      </c>
      <c r="C482" s="22">
        <v>4</v>
      </c>
      <c r="D482" s="22">
        <v>1</v>
      </c>
      <c r="E482" s="22">
        <v>0</v>
      </c>
      <c r="F482" s="22">
        <v>2</v>
      </c>
      <c r="G482" s="22">
        <v>1</v>
      </c>
      <c r="H482" s="26" t="s">
        <v>24</v>
      </c>
      <c r="I482" s="22" t="s">
        <v>21</v>
      </c>
      <c r="J482" s="138">
        <f>2069.2+1260+500</f>
        <v>3829.2</v>
      </c>
      <c r="K482" s="138">
        <v>2318.8</v>
      </c>
      <c r="L482" s="138">
        <v>0</v>
      </c>
      <c r="M482" s="91">
        <v>1465.2</v>
      </c>
      <c r="N482" s="91">
        <v>0</v>
      </c>
      <c r="O482" s="91">
        <v>0</v>
      </c>
      <c r="P482" s="262">
        <v>0</v>
      </c>
      <c r="Q482" s="262">
        <v>0</v>
      </c>
      <c r="R482" s="262">
        <v>0</v>
      </c>
      <c r="S482" s="262">
        <v>0</v>
      </c>
      <c r="T482" s="262">
        <v>0</v>
      </c>
      <c r="U482" s="262">
        <v>0</v>
      </c>
      <c r="V482" s="262">
        <v>0</v>
      </c>
      <c r="W482" s="138">
        <f>J482+K482+L482+M482+N482+P482+R482+T482+V482</f>
        <v>7613.2</v>
      </c>
      <c r="X482" s="22">
        <v>2019</v>
      </c>
      <c r="Y482" s="140">
        <f t="shared" si="184"/>
        <v>0</v>
      </c>
      <c r="Z482" s="141">
        <f t="shared" si="185"/>
        <v>0</v>
      </c>
      <c r="AA482" s="140">
        <f t="shared" si="186"/>
        <v>0</v>
      </c>
      <c r="AB482" s="140">
        <f t="shared" si="187"/>
        <v>0</v>
      </c>
    </row>
    <row r="483" spans="1:28" ht="76.5">
      <c r="A483" s="21" t="s">
        <v>19</v>
      </c>
      <c r="B483" s="22">
        <v>1</v>
      </c>
      <c r="C483" s="22">
        <v>4</v>
      </c>
      <c r="D483" s="22">
        <v>1</v>
      </c>
      <c r="E483" s="22">
        <v>0</v>
      </c>
      <c r="F483" s="22">
        <v>2</v>
      </c>
      <c r="G483" s="43"/>
      <c r="H483" s="46" t="s">
        <v>384</v>
      </c>
      <c r="I483" s="43" t="s">
        <v>57</v>
      </c>
      <c r="J483" s="131">
        <v>7</v>
      </c>
      <c r="K483" s="131">
        <v>8</v>
      </c>
      <c r="L483" s="131">
        <v>14</v>
      </c>
      <c r="M483" s="95">
        <v>14</v>
      </c>
      <c r="N483" s="95">
        <v>14</v>
      </c>
      <c r="O483" s="95">
        <v>14</v>
      </c>
      <c r="P483" s="270">
        <v>14</v>
      </c>
      <c r="Q483" s="270">
        <v>14</v>
      </c>
      <c r="R483" s="270">
        <v>14</v>
      </c>
      <c r="S483" s="270">
        <v>14</v>
      </c>
      <c r="T483" s="270">
        <v>14</v>
      </c>
      <c r="U483" s="270">
        <v>14</v>
      </c>
      <c r="V483" s="270">
        <v>14</v>
      </c>
      <c r="W483" s="131">
        <v>14</v>
      </c>
      <c r="X483" s="43">
        <v>2024</v>
      </c>
      <c r="Y483" s="140">
        <f t="shared" si="184"/>
        <v>0</v>
      </c>
      <c r="Z483" s="141">
        <f t="shared" si="185"/>
        <v>0</v>
      </c>
      <c r="AA483" s="140">
        <f t="shared" si="186"/>
        <v>0</v>
      </c>
      <c r="AB483" s="140">
        <f t="shared" si="187"/>
        <v>0</v>
      </c>
    </row>
    <row r="484" spans="1:28" ht="51">
      <c r="A484" s="21" t="s">
        <v>19</v>
      </c>
      <c r="B484" s="22">
        <v>1</v>
      </c>
      <c r="C484" s="22">
        <v>4</v>
      </c>
      <c r="D484" s="22">
        <v>1</v>
      </c>
      <c r="E484" s="22">
        <v>0</v>
      </c>
      <c r="F484" s="22">
        <v>2</v>
      </c>
      <c r="G484" s="43"/>
      <c r="H484" s="46" t="s">
        <v>385</v>
      </c>
      <c r="I484" s="43" t="s">
        <v>57</v>
      </c>
      <c r="J484" s="131">
        <v>2</v>
      </c>
      <c r="K484" s="131">
        <v>1</v>
      </c>
      <c r="L484" s="131">
        <v>2</v>
      </c>
      <c r="M484" s="95">
        <v>2</v>
      </c>
      <c r="N484" s="95">
        <v>2</v>
      </c>
      <c r="O484" s="95">
        <v>2</v>
      </c>
      <c r="P484" s="270">
        <v>2</v>
      </c>
      <c r="Q484" s="270">
        <v>2</v>
      </c>
      <c r="R484" s="270">
        <v>2</v>
      </c>
      <c r="S484" s="270">
        <v>2</v>
      </c>
      <c r="T484" s="270">
        <v>2</v>
      </c>
      <c r="U484" s="270">
        <v>2</v>
      </c>
      <c r="V484" s="270">
        <v>2</v>
      </c>
      <c r="W484" s="131">
        <v>2</v>
      </c>
      <c r="X484" s="43">
        <v>2024</v>
      </c>
      <c r="Y484" s="140">
        <f t="shared" si="184"/>
        <v>0</v>
      </c>
      <c r="Z484" s="141">
        <f t="shared" si="185"/>
        <v>0</v>
      </c>
      <c r="AA484" s="140">
        <f t="shared" si="186"/>
        <v>0</v>
      </c>
      <c r="AB484" s="140">
        <f t="shared" si="187"/>
        <v>0</v>
      </c>
    </row>
    <row r="485" spans="1:28" s="2" customFormat="1" ht="51">
      <c r="A485" s="160" t="s">
        <v>19</v>
      </c>
      <c r="B485" s="34">
        <v>1</v>
      </c>
      <c r="C485" s="34">
        <v>4</v>
      </c>
      <c r="D485" s="34">
        <v>2</v>
      </c>
      <c r="E485" s="34">
        <v>0</v>
      </c>
      <c r="F485" s="34">
        <v>0</v>
      </c>
      <c r="G485" s="34"/>
      <c r="H485" s="35" t="s">
        <v>386</v>
      </c>
      <c r="I485" s="34" t="s">
        <v>21</v>
      </c>
      <c r="J485" s="81">
        <v>0</v>
      </c>
      <c r="K485" s="81">
        <f aca="true" t="shared" si="188" ref="K485:V485">K486</f>
        <v>20</v>
      </c>
      <c r="L485" s="81">
        <f t="shared" si="188"/>
        <v>24</v>
      </c>
      <c r="M485" s="81">
        <f t="shared" si="188"/>
        <v>20</v>
      </c>
      <c r="N485" s="81">
        <v>20</v>
      </c>
      <c r="O485" s="81">
        <v>30</v>
      </c>
      <c r="P485" s="261">
        <f t="shared" si="188"/>
        <v>30</v>
      </c>
      <c r="Q485" s="261">
        <v>30</v>
      </c>
      <c r="R485" s="261">
        <f t="shared" si="188"/>
        <v>30</v>
      </c>
      <c r="S485" s="261">
        <v>30</v>
      </c>
      <c r="T485" s="261">
        <f t="shared" si="188"/>
        <v>30</v>
      </c>
      <c r="U485" s="261">
        <v>30</v>
      </c>
      <c r="V485" s="261">
        <f t="shared" si="188"/>
        <v>30</v>
      </c>
      <c r="W485" s="81">
        <f>J485+K485+L485+M485+N485+P485+R485+T485+V485</f>
        <v>204</v>
      </c>
      <c r="X485" s="34">
        <v>2024</v>
      </c>
      <c r="Y485" s="140">
        <f t="shared" si="184"/>
        <v>0</v>
      </c>
      <c r="Z485" s="141">
        <f t="shared" si="185"/>
        <v>0</v>
      </c>
      <c r="AA485" s="140">
        <f t="shared" si="186"/>
        <v>0</v>
      </c>
      <c r="AB485" s="140">
        <f t="shared" si="187"/>
        <v>0</v>
      </c>
    </row>
    <row r="486" spans="1:28" s="2" customFormat="1" ht="12.75">
      <c r="A486" s="21" t="s">
        <v>19</v>
      </c>
      <c r="B486" s="22">
        <v>1</v>
      </c>
      <c r="C486" s="22">
        <v>4</v>
      </c>
      <c r="D486" s="22">
        <v>2</v>
      </c>
      <c r="E486" s="22">
        <v>0</v>
      </c>
      <c r="F486" s="22">
        <v>0</v>
      </c>
      <c r="G486" s="22">
        <v>3</v>
      </c>
      <c r="H486" s="26" t="s">
        <v>22</v>
      </c>
      <c r="I486" s="22" t="s">
        <v>21</v>
      </c>
      <c r="J486" s="138">
        <v>0</v>
      </c>
      <c r="K486" s="138">
        <f aca="true" t="shared" si="189" ref="K486:V486">K492</f>
        <v>20</v>
      </c>
      <c r="L486" s="138">
        <f t="shared" si="189"/>
        <v>24</v>
      </c>
      <c r="M486" s="91">
        <f t="shared" si="189"/>
        <v>20</v>
      </c>
      <c r="N486" s="91">
        <v>20</v>
      </c>
      <c r="O486" s="91">
        <v>30</v>
      </c>
      <c r="P486" s="262">
        <f t="shared" si="189"/>
        <v>30</v>
      </c>
      <c r="Q486" s="262">
        <v>30</v>
      </c>
      <c r="R486" s="262">
        <f t="shared" si="189"/>
        <v>30</v>
      </c>
      <c r="S486" s="262">
        <v>30</v>
      </c>
      <c r="T486" s="262">
        <f t="shared" si="189"/>
        <v>30</v>
      </c>
      <c r="U486" s="262">
        <v>30</v>
      </c>
      <c r="V486" s="262">
        <f t="shared" si="189"/>
        <v>30</v>
      </c>
      <c r="W486" s="138">
        <f>J486+K486+L486+M486+N486+P486+R486+T486+V486</f>
        <v>204</v>
      </c>
      <c r="X486" s="45">
        <v>2024</v>
      </c>
      <c r="Y486" s="140">
        <f t="shared" si="184"/>
        <v>0</v>
      </c>
      <c r="Z486" s="141">
        <f t="shared" si="185"/>
        <v>0</v>
      </c>
      <c r="AA486" s="140">
        <f t="shared" si="186"/>
        <v>0</v>
      </c>
      <c r="AB486" s="140">
        <f t="shared" si="187"/>
        <v>0</v>
      </c>
    </row>
    <row r="487" spans="1:28" ht="63.75">
      <c r="A487" s="21" t="s">
        <v>19</v>
      </c>
      <c r="B487" s="22">
        <v>1</v>
      </c>
      <c r="C487" s="22">
        <v>4</v>
      </c>
      <c r="D487" s="22">
        <v>2</v>
      </c>
      <c r="E487" s="22">
        <v>0</v>
      </c>
      <c r="F487" s="22">
        <v>0</v>
      </c>
      <c r="G487" s="43"/>
      <c r="H487" s="44" t="s">
        <v>387</v>
      </c>
      <c r="I487" s="43" t="s">
        <v>28</v>
      </c>
      <c r="J487" s="120">
        <v>60</v>
      </c>
      <c r="K487" s="120">
        <v>58.7</v>
      </c>
      <c r="L487" s="70">
        <v>81.3</v>
      </c>
      <c r="M487" s="120">
        <v>88.8</v>
      </c>
      <c r="N487" s="120">
        <v>88.2</v>
      </c>
      <c r="O487" s="120">
        <v>81.6</v>
      </c>
      <c r="P487" s="297">
        <v>81.6</v>
      </c>
      <c r="Q487" s="297">
        <v>87.8</v>
      </c>
      <c r="R487" s="297">
        <v>87.8</v>
      </c>
      <c r="S487" s="297">
        <v>93.9</v>
      </c>
      <c r="T487" s="297">
        <v>93.9</v>
      </c>
      <c r="U487" s="297">
        <v>100</v>
      </c>
      <c r="V487" s="297">
        <v>100</v>
      </c>
      <c r="W487" s="70">
        <v>100</v>
      </c>
      <c r="X487" s="43">
        <v>2024</v>
      </c>
      <c r="Y487" s="140">
        <f t="shared" si="184"/>
        <v>0</v>
      </c>
      <c r="Z487" s="141">
        <f t="shared" si="185"/>
        <v>0</v>
      </c>
      <c r="AA487" s="140">
        <f t="shared" si="186"/>
        <v>0</v>
      </c>
      <c r="AB487" s="140">
        <f t="shared" si="187"/>
        <v>0</v>
      </c>
    </row>
    <row r="488" spans="1:28" ht="63.75">
      <c r="A488" s="21" t="s">
        <v>19</v>
      </c>
      <c r="B488" s="22">
        <v>1</v>
      </c>
      <c r="C488" s="22">
        <v>4</v>
      </c>
      <c r="D488" s="22">
        <v>2</v>
      </c>
      <c r="E488" s="22">
        <v>0</v>
      </c>
      <c r="F488" s="22">
        <v>0</v>
      </c>
      <c r="G488" s="43"/>
      <c r="H488" s="44" t="s">
        <v>388</v>
      </c>
      <c r="I488" s="43" t="s">
        <v>21</v>
      </c>
      <c r="J488" s="120">
        <v>0</v>
      </c>
      <c r="K488" s="120">
        <v>2.2</v>
      </c>
      <c r="L488" s="70">
        <v>3.4</v>
      </c>
      <c r="M488" s="120">
        <v>2</v>
      </c>
      <c r="N488" s="120">
        <v>5</v>
      </c>
      <c r="O488" s="120">
        <v>5</v>
      </c>
      <c r="P488" s="297">
        <v>5</v>
      </c>
      <c r="Q488" s="297">
        <v>5</v>
      </c>
      <c r="R488" s="297">
        <v>5</v>
      </c>
      <c r="S488" s="297">
        <v>5</v>
      </c>
      <c r="T488" s="297">
        <v>5</v>
      </c>
      <c r="U488" s="297">
        <v>5</v>
      </c>
      <c r="V488" s="297">
        <v>5</v>
      </c>
      <c r="W488" s="120">
        <v>5</v>
      </c>
      <c r="X488" s="43">
        <v>2024</v>
      </c>
      <c r="Y488" s="140">
        <f t="shared" si="184"/>
        <v>0</v>
      </c>
      <c r="Z488" s="141">
        <f t="shared" si="185"/>
        <v>0</v>
      </c>
      <c r="AA488" s="140">
        <f t="shared" si="186"/>
        <v>0</v>
      </c>
      <c r="AB488" s="140">
        <f t="shared" si="187"/>
        <v>0</v>
      </c>
    </row>
    <row r="489" spans="1:28" ht="63.75">
      <c r="A489" s="36" t="s">
        <v>19</v>
      </c>
      <c r="B489" s="37">
        <v>1</v>
      </c>
      <c r="C489" s="37">
        <v>4</v>
      </c>
      <c r="D489" s="37">
        <v>2</v>
      </c>
      <c r="E489" s="37">
        <v>0</v>
      </c>
      <c r="F489" s="37">
        <v>1</v>
      </c>
      <c r="G489" s="38"/>
      <c r="H489" s="39" t="s">
        <v>389</v>
      </c>
      <c r="I489" s="38" t="s">
        <v>43</v>
      </c>
      <c r="J489" s="87" t="s">
        <v>112</v>
      </c>
      <c r="K489" s="87" t="s">
        <v>44</v>
      </c>
      <c r="L489" s="88" t="s">
        <v>44</v>
      </c>
      <c r="M489" s="125" t="s">
        <v>44</v>
      </c>
      <c r="N489" s="88" t="s">
        <v>44</v>
      </c>
      <c r="O489" s="88" t="s">
        <v>44</v>
      </c>
      <c r="P489" s="306" t="s">
        <v>44</v>
      </c>
      <c r="Q489" s="265" t="s">
        <v>44</v>
      </c>
      <c r="R489" s="265" t="s">
        <v>44</v>
      </c>
      <c r="S489" s="265" t="s">
        <v>44</v>
      </c>
      <c r="T489" s="265" t="s">
        <v>44</v>
      </c>
      <c r="U489" s="265" t="s">
        <v>44</v>
      </c>
      <c r="V489" s="265" t="s">
        <v>44</v>
      </c>
      <c r="W489" s="125" t="s">
        <v>44</v>
      </c>
      <c r="X489" s="38">
        <v>2024</v>
      </c>
      <c r="Y489" s="140"/>
      <c r="Z489" s="141"/>
      <c r="AA489" s="140"/>
      <c r="AB489" s="140"/>
    </row>
    <row r="490" spans="1:28" ht="38.25">
      <c r="A490" s="21" t="s">
        <v>19</v>
      </c>
      <c r="B490" s="22">
        <v>1</v>
      </c>
      <c r="C490" s="22">
        <v>4</v>
      </c>
      <c r="D490" s="22">
        <v>2</v>
      </c>
      <c r="E490" s="22">
        <v>0</v>
      </c>
      <c r="F490" s="22">
        <v>1</v>
      </c>
      <c r="G490" s="43"/>
      <c r="H490" s="44" t="s">
        <v>390</v>
      </c>
      <c r="I490" s="43" t="s">
        <v>57</v>
      </c>
      <c r="J490" s="131">
        <v>0</v>
      </c>
      <c r="K490" s="131">
        <v>1</v>
      </c>
      <c r="L490" s="131">
        <v>1</v>
      </c>
      <c r="M490" s="95">
        <v>1</v>
      </c>
      <c r="N490" s="95">
        <v>1</v>
      </c>
      <c r="O490" s="95">
        <v>1</v>
      </c>
      <c r="P490" s="270">
        <v>1</v>
      </c>
      <c r="Q490" s="270">
        <v>1</v>
      </c>
      <c r="R490" s="270">
        <v>1</v>
      </c>
      <c r="S490" s="270">
        <v>1</v>
      </c>
      <c r="T490" s="270">
        <v>1</v>
      </c>
      <c r="U490" s="270">
        <v>1</v>
      </c>
      <c r="V490" s="270">
        <v>1</v>
      </c>
      <c r="W490" s="131">
        <f aca="true" t="shared" si="190" ref="W490:W500">J490+K490+L490+M490+N490+P490+R490+T490+V490</f>
        <v>8</v>
      </c>
      <c r="X490" s="43">
        <v>2024</v>
      </c>
      <c r="Y490" s="140">
        <f aca="true" t="shared" si="191" ref="Y490:Y501">P490-O490</f>
        <v>0</v>
      </c>
      <c r="Z490" s="141">
        <f aca="true" t="shared" si="192" ref="Z490:Z501">R490-Q490</f>
        <v>0</v>
      </c>
      <c r="AA490" s="140">
        <f aca="true" t="shared" si="193" ref="AA490:AA501">T490-S490</f>
        <v>0</v>
      </c>
      <c r="AB490" s="140">
        <f aca="true" t="shared" si="194" ref="AB490:AB501">V490-U490</f>
        <v>0</v>
      </c>
    </row>
    <row r="491" spans="1:28" s="2" customFormat="1" ht="63.75">
      <c r="A491" s="36" t="s">
        <v>19</v>
      </c>
      <c r="B491" s="37">
        <v>1</v>
      </c>
      <c r="C491" s="37">
        <v>4</v>
      </c>
      <c r="D491" s="37">
        <v>2</v>
      </c>
      <c r="E491" s="37">
        <v>0</v>
      </c>
      <c r="F491" s="37">
        <v>2</v>
      </c>
      <c r="G491" s="37"/>
      <c r="H491" s="40" t="s">
        <v>391</v>
      </c>
      <c r="I491" s="37" t="s">
        <v>21</v>
      </c>
      <c r="J491" s="88">
        <f aca="true" t="shared" si="195" ref="J491:V491">J492</f>
        <v>0</v>
      </c>
      <c r="K491" s="88">
        <f t="shared" si="195"/>
        <v>20</v>
      </c>
      <c r="L491" s="88">
        <f t="shared" si="195"/>
        <v>24</v>
      </c>
      <c r="M491" s="89">
        <f t="shared" si="195"/>
        <v>20</v>
      </c>
      <c r="N491" s="88">
        <v>20</v>
      </c>
      <c r="O491" s="88">
        <v>30</v>
      </c>
      <c r="P491" s="306">
        <f t="shared" si="195"/>
        <v>30</v>
      </c>
      <c r="Q491" s="306">
        <v>30</v>
      </c>
      <c r="R491" s="306">
        <f t="shared" si="195"/>
        <v>30</v>
      </c>
      <c r="S491" s="306">
        <v>30</v>
      </c>
      <c r="T491" s="306">
        <f t="shared" si="195"/>
        <v>30</v>
      </c>
      <c r="U491" s="306">
        <v>30</v>
      </c>
      <c r="V491" s="306">
        <f t="shared" si="195"/>
        <v>30</v>
      </c>
      <c r="W491" s="88">
        <f t="shared" si="190"/>
        <v>204</v>
      </c>
      <c r="X491" s="37">
        <v>2024</v>
      </c>
      <c r="Y491" s="140">
        <f t="shared" si="191"/>
        <v>0</v>
      </c>
      <c r="Z491" s="141">
        <f t="shared" si="192"/>
        <v>0</v>
      </c>
      <c r="AA491" s="140">
        <f t="shared" si="193"/>
        <v>0</v>
      </c>
      <c r="AB491" s="140">
        <f t="shared" si="194"/>
        <v>0</v>
      </c>
    </row>
    <row r="492" spans="1:28" s="2" customFormat="1" ht="12.75">
      <c r="A492" s="21" t="s">
        <v>19</v>
      </c>
      <c r="B492" s="22">
        <v>1</v>
      </c>
      <c r="C492" s="22">
        <v>4</v>
      </c>
      <c r="D492" s="22">
        <v>2</v>
      </c>
      <c r="E492" s="22">
        <v>0</v>
      </c>
      <c r="F492" s="22">
        <v>2</v>
      </c>
      <c r="G492" s="22">
        <v>3</v>
      </c>
      <c r="H492" s="26" t="s">
        <v>22</v>
      </c>
      <c r="I492" s="22" t="s">
        <v>21</v>
      </c>
      <c r="J492" s="138">
        <v>0</v>
      </c>
      <c r="K492" s="138">
        <v>20</v>
      </c>
      <c r="L492" s="138">
        <v>24</v>
      </c>
      <c r="M492" s="91">
        <v>20</v>
      </c>
      <c r="N492" s="91">
        <v>20</v>
      </c>
      <c r="O492" s="91">
        <v>30</v>
      </c>
      <c r="P492" s="262">
        <v>30</v>
      </c>
      <c r="Q492" s="262">
        <v>30</v>
      </c>
      <c r="R492" s="262">
        <v>30</v>
      </c>
      <c r="S492" s="262">
        <v>30</v>
      </c>
      <c r="T492" s="262">
        <v>30</v>
      </c>
      <c r="U492" s="262">
        <v>30</v>
      </c>
      <c r="V492" s="262">
        <v>30</v>
      </c>
      <c r="W492" s="138">
        <f t="shared" si="190"/>
        <v>204</v>
      </c>
      <c r="X492" s="22">
        <v>2024</v>
      </c>
      <c r="Y492" s="140">
        <f t="shared" si="191"/>
        <v>0</v>
      </c>
      <c r="Z492" s="141">
        <f t="shared" si="192"/>
        <v>0</v>
      </c>
      <c r="AA492" s="140">
        <f t="shared" si="193"/>
        <v>0</v>
      </c>
      <c r="AB492" s="140">
        <f t="shared" si="194"/>
        <v>0</v>
      </c>
    </row>
    <row r="493" spans="1:28" ht="25.5">
      <c r="A493" s="21" t="s">
        <v>19</v>
      </c>
      <c r="B493" s="22">
        <v>1</v>
      </c>
      <c r="C493" s="22">
        <v>4</v>
      </c>
      <c r="D493" s="22">
        <v>2</v>
      </c>
      <c r="E493" s="22">
        <v>0</v>
      </c>
      <c r="F493" s="22">
        <v>2</v>
      </c>
      <c r="G493" s="43"/>
      <c r="H493" s="46" t="s">
        <v>392</v>
      </c>
      <c r="I493" s="43" t="s">
        <v>48</v>
      </c>
      <c r="J493" s="258">
        <v>0</v>
      </c>
      <c r="K493" s="258">
        <v>8</v>
      </c>
      <c r="L493" s="99">
        <v>9</v>
      </c>
      <c r="M493" s="258">
        <v>9</v>
      </c>
      <c r="N493" s="258">
        <v>3</v>
      </c>
      <c r="O493" s="258">
        <v>5</v>
      </c>
      <c r="P493" s="346">
        <v>5</v>
      </c>
      <c r="Q493" s="361">
        <v>5</v>
      </c>
      <c r="R493" s="361">
        <v>5</v>
      </c>
      <c r="S493" s="361">
        <v>5</v>
      </c>
      <c r="T493" s="361">
        <v>5</v>
      </c>
      <c r="U493" s="361">
        <v>5</v>
      </c>
      <c r="V493" s="361">
        <v>5</v>
      </c>
      <c r="W493" s="93">
        <f t="shared" si="190"/>
        <v>49</v>
      </c>
      <c r="X493" s="43">
        <v>2024</v>
      </c>
      <c r="Y493" s="140">
        <f t="shared" si="191"/>
        <v>0</v>
      </c>
      <c r="Z493" s="141">
        <f t="shared" si="192"/>
        <v>0</v>
      </c>
      <c r="AA493" s="140">
        <f t="shared" si="193"/>
        <v>0</v>
      </c>
      <c r="AB493" s="140">
        <f t="shared" si="194"/>
        <v>0</v>
      </c>
    </row>
    <row r="494" spans="1:28" ht="51">
      <c r="A494" s="21" t="s">
        <v>19</v>
      </c>
      <c r="B494" s="22">
        <v>1</v>
      </c>
      <c r="C494" s="22">
        <v>4</v>
      </c>
      <c r="D494" s="22">
        <v>2</v>
      </c>
      <c r="E494" s="22">
        <v>0</v>
      </c>
      <c r="F494" s="22">
        <v>2</v>
      </c>
      <c r="G494" s="43"/>
      <c r="H494" s="331" t="s">
        <v>393</v>
      </c>
      <c r="I494" s="43" t="s">
        <v>48</v>
      </c>
      <c r="J494" s="131">
        <v>0</v>
      </c>
      <c r="K494" s="131">
        <v>1</v>
      </c>
      <c r="L494" s="93">
        <v>1</v>
      </c>
      <c r="M494" s="93">
        <v>1</v>
      </c>
      <c r="N494" s="131">
        <v>1</v>
      </c>
      <c r="O494" s="131">
        <v>1</v>
      </c>
      <c r="P494" s="347">
        <v>1</v>
      </c>
      <c r="Q494" s="362">
        <v>1</v>
      </c>
      <c r="R494" s="362">
        <v>1</v>
      </c>
      <c r="S494" s="362">
        <v>1</v>
      </c>
      <c r="T494" s="362">
        <v>1</v>
      </c>
      <c r="U494" s="362">
        <v>1</v>
      </c>
      <c r="V494" s="362">
        <v>1</v>
      </c>
      <c r="W494" s="93">
        <f t="shared" si="190"/>
        <v>8</v>
      </c>
      <c r="X494" s="43">
        <v>2024</v>
      </c>
      <c r="Y494" s="140">
        <f t="shared" si="191"/>
        <v>0</v>
      </c>
      <c r="Z494" s="141">
        <f t="shared" si="192"/>
        <v>0</v>
      </c>
      <c r="AA494" s="140">
        <f t="shared" si="193"/>
        <v>0</v>
      </c>
      <c r="AB494" s="140">
        <f t="shared" si="194"/>
        <v>0</v>
      </c>
    </row>
    <row r="495" spans="1:28" s="2" customFormat="1" ht="38.25">
      <c r="A495" s="23" t="s">
        <v>19</v>
      </c>
      <c r="B495" s="24">
        <v>1</v>
      </c>
      <c r="C495" s="24">
        <v>5</v>
      </c>
      <c r="D495" s="24">
        <v>0</v>
      </c>
      <c r="E495" s="24">
        <v>0</v>
      </c>
      <c r="F495" s="24">
        <v>0</v>
      </c>
      <c r="G495" s="24"/>
      <c r="H495" s="25" t="s">
        <v>394</v>
      </c>
      <c r="I495" s="24" t="s">
        <v>21</v>
      </c>
      <c r="J495" s="61">
        <f aca="true" t="shared" si="196" ref="J495:V495">J496+J497</f>
        <v>60170.7</v>
      </c>
      <c r="K495" s="61">
        <f t="shared" si="196"/>
        <v>90551.3</v>
      </c>
      <c r="L495" s="61">
        <f t="shared" si="196"/>
        <v>41710.8</v>
      </c>
      <c r="M495" s="62">
        <f t="shared" si="196"/>
        <v>44031.9</v>
      </c>
      <c r="N495" s="62">
        <v>25155.5</v>
      </c>
      <c r="O495" s="62">
        <v>23894</v>
      </c>
      <c r="P495" s="63">
        <f t="shared" si="196"/>
        <v>38894</v>
      </c>
      <c r="Q495" s="63">
        <v>11884.5</v>
      </c>
      <c r="R495" s="63">
        <f t="shared" si="196"/>
        <v>11884.5</v>
      </c>
      <c r="S495" s="63">
        <v>11932.2</v>
      </c>
      <c r="T495" s="63">
        <f t="shared" si="196"/>
        <v>11932.2</v>
      </c>
      <c r="U495" s="63">
        <v>11498.3</v>
      </c>
      <c r="V495" s="63">
        <f t="shared" si="196"/>
        <v>11498.3</v>
      </c>
      <c r="W495" s="61">
        <f t="shared" si="190"/>
        <v>335829.2</v>
      </c>
      <c r="X495" s="24">
        <v>2024</v>
      </c>
      <c r="Y495" s="140">
        <f t="shared" si="191"/>
        <v>15000</v>
      </c>
      <c r="Z495" s="141">
        <f t="shared" si="192"/>
        <v>0</v>
      </c>
      <c r="AA495" s="140">
        <f t="shared" si="193"/>
        <v>0</v>
      </c>
      <c r="AB495" s="140">
        <f t="shared" si="194"/>
        <v>0</v>
      </c>
    </row>
    <row r="496" spans="1:28" s="2" customFormat="1" ht="12.75">
      <c r="A496" s="21" t="s">
        <v>19</v>
      </c>
      <c r="B496" s="22">
        <v>1</v>
      </c>
      <c r="C496" s="22">
        <v>5</v>
      </c>
      <c r="D496" s="22">
        <v>0</v>
      </c>
      <c r="E496" s="22">
        <v>0</v>
      </c>
      <c r="F496" s="22">
        <v>0</v>
      </c>
      <c r="G496" s="22">
        <v>3</v>
      </c>
      <c r="H496" s="26" t="s">
        <v>22</v>
      </c>
      <c r="I496" s="22" t="s">
        <v>21</v>
      </c>
      <c r="J496" s="138">
        <f>J499+J511+J523+J554</f>
        <v>59227.5</v>
      </c>
      <c r="K496" s="138">
        <f>K499+K511+K523+K554</f>
        <v>89592.3</v>
      </c>
      <c r="L496" s="138">
        <f>L499+L511+L523+L554</f>
        <v>40544.2</v>
      </c>
      <c r="M496" s="91">
        <f>M499+M511+M523+M554</f>
        <v>42916.6</v>
      </c>
      <c r="N496" s="91">
        <v>23890.4</v>
      </c>
      <c r="O496" s="91">
        <v>22974.9</v>
      </c>
      <c r="P496" s="243">
        <f>P499+P511+P523+P554</f>
        <v>37974.9</v>
      </c>
      <c r="Q496" s="243">
        <v>10695</v>
      </c>
      <c r="R496" s="243">
        <f>R499+R511+R523+R554</f>
        <v>10695</v>
      </c>
      <c r="S496" s="243">
        <v>10695</v>
      </c>
      <c r="T496" s="243">
        <f>T499+T511+T523+T554</f>
        <v>10695</v>
      </c>
      <c r="U496" s="243">
        <v>10575</v>
      </c>
      <c r="V496" s="243">
        <f>V499+V511+V523+V554</f>
        <v>10575</v>
      </c>
      <c r="W496" s="138">
        <f t="shared" si="190"/>
        <v>326110.9</v>
      </c>
      <c r="X496" s="22">
        <v>2024</v>
      </c>
      <c r="Y496" s="140">
        <f t="shared" si="191"/>
        <v>15000</v>
      </c>
      <c r="Z496" s="141">
        <f t="shared" si="192"/>
        <v>0</v>
      </c>
      <c r="AA496" s="140">
        <f t="shared" si="193"/>
        <v>0</v>
      </c>
      <c r="AB496" s="140">
        <f t="shared" si="194"/>
        <v>0</v>
      </c>
    </row>
    <row r="497" spans="1:28" s="2" customFormat="1" ht="12.75">
      <c r="A497" s="21" t="s">
        <v>19</v>
      </c>
      <c r="B497" s="22">
        <v>1</v>
      </c>
      <c r="C497" s="22">
        <v>5</v>
      </c>
      <c r="D497" s="22">
        <v>0</v>
      </c>
      <c r="E497" s="22">
        <v>0</v>
      </c>
      <c r="F497" s="22">
        <v>0</v>
      </c>
      <c r="G497" s="22">
        <v>2</v>
      </c>
      <c r="H497" s="26" t="s">
        <v>23</v>
      </c>
      <c r="I497" s="22" t="s">
        <v>21</v>
      </c>
      <c r="J497" s="138">
        <f aca="true" t="shared" si="197" ref="J497:V497">J524</f>
        <v>943.2</v>
      </c>
      <c r="K497" s="138">
        <f t="shared" si="197"/>
        <v>959</v>
      </c>
      <c r="L497" s="138">
        <f t="shared" si="197"/>
        <v>1166.6</v>
      </c>
      <c r="M497" s="91">
        <f t="shared" si="197"/>
        <v>1115.3</v>
      </c>
      <c r="N497" s="91">
        <v>1265.1</v>
      </c>
      <c r="O497" s="91">
        <v>919.1</v>
      </c>
      <c r="P497" s="243">
        <f t="shared" si="197"/>
        <v>919.1</v>
      </c>
      <c r="Q497" s="243">
        <v>1189.5</v>
      </c>
      <c r="R497" s="243">
        <f t="shared" si="197"/>
        <v>1189.5</v>
      </c>
      <c r="S497" s="243">
        <v>1237.2</v>
      </c>
      <c r="T497" s="243">
        <f t="shared" si="197"/>
        <v>1237.2</v>
      </c>
      <c r="U497" s="243">
        <v>923.3</v>
      </c>
      <c r="V497" s="243">
        <f t="shared" si="197"/>
        <v>923.3</v>
      </c>
      <c r="W497" s="138">
        <f t="shared" si="190"/>
        <v>9718.3</v>
      </c>
      <c r="X497" s="22">
        <v>2024</v>
      </c>
      <c r="Y497" s="140">
        <f t="shared" si="191"/>
        <v>0</v>
      </c>
      <c r="Z497" s="141">
        <f t="shared" si="192"/>
        <v>0</v>
      </c>
      <c r="AA497" s="140">
        <f t="shared" si="193"/>
        <v>0</v>
      </c>
      <c r="AB497" s="140">
        <f t="shared" si="194"/>
        <v>0</v>
      </c>
    </row>
    <row r="498" spans="1:28" s="2" customFormat="1" ht="25.5">
      <c r="A498" s="160" t="s">
        <v>19</v>
      </c>
      <c r="B498" s="34">
        <v>1</v>
      </c>
      <c r="C498" s="34">
        <v>5</v>
      </c>
      <c r="D498" s="34">
        <v>1</v>
      </c>
      <c r="E498" s="34">
        <v>0</v>
      </c>
      <c r="F498" s="34">
        <v>0</v>
      </c>
      <c r="G498" s="34"/>
      <c r="H498" s="35" t="s">
        <v>395</v>
      </c>
      <c r="I498" s="34" t="s">
        <v>21</v>
      </c>
      <c r="J498" s="81">
        <f aca="true" t="shared" si="198" ref="J498:V498">J499</f>
        <v>300</v>
      </c>
      <c r="K498" s="81">
        <f t="shared" si="198"/>
        <v>300</v>
      </c>
      <c r="L498" s="81">
        <f t="shared" si="198"/>
        <v>254</v>
      </c>
      <c r="M498" s="81">
        <f t="shared" si="198"/>
        <v>300</v>
      </c>
      <c r="N498" s="81">
        <v>140.9</v>
      </c>
      <c r="O498" s="81">
        <v>200</v>
      </c>
      <c r="P498" s="242">
        <f t="shared" si="198"/>
        <v>200</v>
      </c>
      <c r="Q498" s="242">
        <v>200</v>
      </c>
      <c r="R498" s="242">
        <f t="shared" si="198"/>
        <v>200</v>
      </c>
      <c r="S498" s="242">
        <v>200</v>
      </c>
      <c r="T498" s="242">
        <f t="shared" si="198"/>
        <v>200</v>
      </c>
      <c r="U498" s="242">
        <v>300</v>
      </c>
      <c r="V498" s="242">
        <f t="shared" si="198"/>
        <v>300</v>
      </c>
      <c r="W498" s="81">
        <f t="shared" si="190"/>
        <v>2194.9</v>
      </c>
      <c r="X498" s="34">
        <v>2024</v>
      </c>
      <c r="Y498" s="140">
        <f t="shared" si="191"/>
        <v>0</v>
      </c>
      <c r="Z498" s="141">
        <f t="shared" si="192"/>
        <v>0</v>
      </c>
      <c r="AA498" s="140">
        <f t="shared" si="193"/>
        <v>0</v>
      </c>
      <c r="AB498" s="140">
        <f t="shared" si="194"/>
        <v>0</v>
      </c>
    </row>
    <row r="499" spans="1:28" s="2" customFormat="1" ht="12.75">
      <c r="A499" s="21" t="s">
        <v>19</v>
      </c>
      <c r="B499" s="22">
        <v>1</v>
      </c>
      <c r="C499" s="22">
        <v>5</v>
      </c>
      <c r="D499" s="22">
        <v>1</v>
      </c>
      <c r="E499" s="22">
        <v>0</v>
      </c>
      <c r="F499" s="22">
        <v>0</v>
      </c>
      <c r="G499" s="22">
        <v>3</v>
      </c>
      <c r="H499" s="26" t="s">
        <v>22</v>
      </c>
      <c r="I499" s="22" t="s">
        <v>21</v>
      </c>
      <c r="J499" s="138">
        <f aca="true" t="shared" si="199" ref="J499:V499">J506</f>
        <v>300</v>
      </c>
      <c r="K499" s="138">
        <f t="shared" si="199"/>
        <v>300</v>
      </c>
      <c r="L499" s="138">
        <f t="shared" si="199"/>
        <v>254</v>
      </c>
      <c r="M499" s="91">
        <f t="shared" si="199"/>
        <v>300</v>
      </c>
      <c r="N499" s="91">
        <v>140.9</v>
      </c>
      <c r="O499" s="91">
        <v>200</v>
      </c>
      <c r="P499" s="243">
        <f t="shared" si="199"/>
        <v>200</v>
      </c>
      <c r="Q499" s="243">
        <v>200</v>
      </c>
      <c r="R499" s="243">
        <f t="shared" si="199"/>
        <v>200</v>
      </c>
      <c r="S499" s="243">
        <v>200</v>
      </c>
      <c r="T499" s="243">
        <f t="shared" si="199"/>
        <v>200</v>
      </c>
      <c r="U499" s="243">
        <v>300</v>
      </c>
      <c r="V499" s="243">
        <f t="shared" si="199"/>
        <v>300</v>
      </c>
      <c r="W499" s="138">
        <f t="shared" si="190"/>
        <v>2194.9</v>
      </c>
      <c r="X499" s="22">
        <v>2024</v>
      </c>
      <c r="Y499" s="140">
        <f t="shared" si="191"/>
        <v>0</v>
      </c>
      <c r="Z499" s="141">
        <f t="shared" si="192"/>
        <v>0</v>
      </c>
      <c r="AA499" s="140">
        <f t="shared" si="193"/>
        <v>0</v>
      </c>
      <c r="AB499" s="140">
        <f t="shared" si="194"/>
        <v>0</v>
      </c>
    </row>
    <row r="500" spans="1:28" ht="38.25">
      <c r="A500" s="21" t="s">
        <v>19</v>
      </c>
      <c r="B500" s="22">
        <v>1</v>
      </c>
      <c r="C500" s="22">
        <v>5</v>
      </c>
      <c r="D500" s="22">
        <v>1</v>
      </c>
      <c r="E500" s="22">
        <v>0</v>
      </c>
      <c r="F500" s="22">
        <v>0</v>
      </c>
      <c r="G500" s="43"/>
      <c r="H500" s="44" t="s">
        <v>396</v>
      </c>
      <c r="I500" s="43" t="s">
        <v>57</v>
      </c>
      <c r="J500" s="258">
        <v>1</v>
      </c>
      <c r="K500" s="258">
        <v>1</v>
      </c>
      <c r="L500" s="258">
        <v>1</v>
      </c>
      <c r="M500" s="100">
        <v>1</v>
      </c>
      <c r="N500" s="348">
        <v>1</v>
      </c>
      <c r="O500" s="348">
        <v>1</v>
      </c>
      <c r="P500" s="348">
        <v>1</v>
      </c>
      <c r="Q500" s="348">
        <v>1</v>
      </c>
      <c r="R500" s="348">
        <v>1</v>
      </c>
      <c r="S500" s="348">
        <v>1</v>
      </c>
      <c r="T500" s="348">
        <v>1</v>
      </c>
      <c r="U500" s="348">
        <v>1</v>
      </c>
      <c r="V500" s="348">
        <v>1</v>
      </c>
      <c r="W500" s="258">
        <f t="shared" si="190"/>
        <v>9</v>
      </c>
      <c r="X500" s="43">
        <v>2024</v>
      </c>
      <c r="Y500" s="140">
        <f t="shared" si="191"/>
        <v>0</v>
      </c>
      <c r="Z500" s="141">
        <f t="shared" si="192"/>
        <v>0</v>
      </c>
      <c r="AA500" s="140">
        <f t="shared" si="193"/>
        <v>0</v>
      </c>
      <c r="AB500" s="140">
        <f t="shared" si="194"/>
        <v>0</v>
      </c>
    </row>
    <row r="501" spans="1:28" ht="38.25">
      <c r="A501" s="21" t="s">
        <v>19</v>
      </c>
      <c r="B501" s="22">
        <v>1</v>
      </c>
      <c r="C501" s="22">
        <v>5</v>
      </c>
      <c r="D501" s="22">
        <v>1</v>
      </c>
      <c r="E501" s="22">
        <v>0</v>
      </c>
      <c r="F501" s="22">
        <v>0</v>
      </c>
      <c r="G501" s="43"/>
      <c r="H501" s="44" t="s">
        <v>397</v>
      </c>
      <c r="I501" s="43" t="s">
        <v>28</v>
      </c>
      <c r="J501" s="120">
        <v>13</v>
      </c>
      <c r="K501" s="43">
        <v>19.4</v>
      </c>
      <c r="L501" s="120">
        <v>9</v>
      </c>
      <c r="M501" s="68">
        <v>17.2</v>
      </c>
      <c r="N501" s="245">
        <v>14.1</v>
      </c>
      <c r="O501" s="245">
        <v>23.4</v>
      </c>
      <c r="P501" s="245">
        <v>23.4</v>
      </c>
      <c r="Q501" s="245">
        <v>23.4</v>
      </c>
      <c r="R501" s="245">
        <v>23.4</v>
      </c>
      <c r="S501" s="245">
        <v>23.4</v>
      </c>
      <c r="T501" s="245">
        <v>23.4</v>
      </c>
      <c r="U501" s="245">
        <v>25</v>
      </c>
      <c r="V501" s="245">
        <v>25</v>
      </c>
      <c r="W501" s="120">
        <v>25</v>
      </c>
      <c r="X501" s="43">
        <v>2024</v>
      </c>
      <c r="Y501" s="140">
        <f t="shared" si="191"/>
        <v>0</v>
      </c>
      <c r="Z501" s="141">
        <f t="shared" si="192"/>
        <v>0</v>
      </c>
      <c r="AA501" s="140">
        <f t="shared" si="193"/>
        <v>0</v>
      </c>
      <c r="AB501" s="140">
        <f t="shared" si="194"/>
        <v>0</v>
      </c>
    </row>
    <row r="502" spans="1:28" ht="51">
      <c r="A502" s="36" t="s">
        <v>19</v>
      </c>
      <c r="B502" s="37">
        <v>1</v>
      </c>
      <c r="C502" s="37">
        <v>5</v>
      </c>
      <c r="D502" s="37">
        <v>1</v>
      </c>
      <c r="E502" s="37">
        <v>0</v>
      </c>
      <c r="F502" s="37">
        <v>1</v>
      </c>
      <c r="G502" s="38"/>
      <c r="H502" s="39" t="s">
        <v>398</v>
      </c>
      <c r="I502" s="38" t="s">
        <v>43</v>
      </c>
      <c r="J502" s="87" t="s">
        <v>44</v>
      </c>
      <c r="K502" s="87" t="s">
        <v>44</v>
      </c>
      <c r="L502" s="88" t="s">
        <v>44</v>
      </c>
      <c r="M502" s="125" t="s">
        <v>44</v>
      </c>
      <c r="N502" s="88" t="s">
        <v>44</v>
      </c>
      <c r="O502" s="88">
        <v>13</v>
      </c>
      <c r="P502" s="349" t="s">
        <v>44</v>
      </c>
      <c r="Q502" s="349" t="s">
        <v>44</v>
      </c>
      <c r="R502" s="349" t="s">
        <v>44</v>
      </c>
      <c r="S502" s="349" t="s">
        <v>44</v>
      </c>
      <c r="T502" s="349" t="s">
        <v>44</v>
      </c>
      <c r="U502" s="246" t="s">
        <v>44</v>
      </c>
      <c r="V502" s="246" t="s">
        <v>44</v>
      </c>
      <c r="W502" s="246" t="s">
        <v>44</v>
      </c>
      <c r="X502" s="38">
        <v>2024</v>
      </c>
      <c r="Y502" s="140"/>
      <c r="Z502" s="141"/>
      <c r="AA502" s="140"/>
      <c r="AB502" s="140"/>
    </row>
    <row r="503" spans="1:28" ht="51">
      <c r="A503" s="21" t="s">
        <v>19</v>
      </c>
      <c r="B503" s="22">
        <v>1</v>
      </c>
      <c r="C503" s="22">
        <v>5</v>
      </c>
      <c r="D503" s="22">
        <v>1</v>
      </c>
      <c r="E503" s="22">
        <v>0</v>
      </c>
      <c r="F503" s="22">
        <v>1</v>
      </c>
      <c r="G503" s="43"/>
      <c r="H503" s="46" t="s">
        <v>399</v>
      </c>
      <c r="I503" s="43" t="s">
        <v>57</v>
      </c>
      <c r="J503" s="131">
        <v>1</v>
      </c>
      <c r="K503" s="131">
        <v>0</v>
      </c>
      <c r="L503" s="93">
        <v>0</v>
      </c>
      <c r="M503" s="93">
        <v>0</v>
      </c>
      <c r="N503" s="131">
        <v>0</v>
      </c>
      <c r="O503" s="131">
        <v>0</v>
      </c>
      <c r="P503" s="350">
        <v>0</v>
      </c>
      <c r="Q503" s="350">
        <v>0</v>
      </c>
      <c r="R503" s="350">
        <v>0</v>
      </c>
      <c r="S503" s="350">
        <v>0</v>
      </c>
      <c r="T503" s="350">
        <v>0</v>
      </c>
      <c r="U503" s="350">
        <v>0</v>
      </c>
      <c r="V503" s="350">
        <v>0</v>
      </c>
      <c r="W503" s="250">
        <f aca="true" t="shared" si="200" ref="W503:W511">J503+K503+L503+M503+N503+P503+R503+T503+V503</f>
        <v>1</v>
      </c>
      <c r="X503" s="30">
        <v>2016</v>
      </c>
      <c r="Y503" s="140">
        <f aca="true" t="shared" si="201" ref="Y503:Y513">P503-O503</f>
        <v>0</v>
      </c>
      <c r="Z503" s="141">
        <f aca="true" t="shared" si="202" ref="Z503:Z513">R503-Q503</f>
        <v>0</v>
      </c>
      <c r="AA503" s="140">
        <f aca="true" t="shared" si="203" ref="AA503:AA513">T503-S503</f>
        <v>0</v>
      </c>
      <c r="AB503" s="140">
        <f aca="true" t="shared" si="204" ref="AB503:AB513">V503-U503</f>
        <v>0</v>
      </c>
    </row>
    <row r="504" spans="1:28" ht="51">
      <c r="A504" s="21" t="s">
        <v>19</v>
      </c>
      <c r="B504" s="22">
        <v>1</v>
      </c>
      <c r="C504" s="22">
        <v>5</v>
      </c>
      <c r="D504" s="22">
        <v>1</v>
      </c>
      <c r="E504" s="22">
        <v>0</v>
      </c>
      <c r="F504" s="22">
        <v>1</v>
      </c>
      <c r="G504" s="43"/>
      <c r="H504" s="46" t="s">
        <v>400</v>
      </c>
      <c r="I504" s="43" t="s">
        <v>57</v>
      </c>
      <c r="J504" s="131">
        <v>20</v>
      </c>
      <c r="K504" s="131">
        <v>20</v>
      </c>
      <c r="L504" s="131">
        <v>20</v>
      </c>
      <c r="M504" s="95">
        <v>20</v>
      </c>
      <c r="N504" s="95">
        <v>20</v>
      </c>
      <c r="O504" s="95">
        <v>20</v>
      </c>
      <c r="P504" s="247">
        <v>20</v>
      </c>
      <c r="Q504" s="247">
        <v>20</v>
      </c>
      <c r="R504" s="247">
        <v>20</v>
      </c>
      <c r="S504" s="247">
        <v>20</v>
      </c>
      <c r="T504" s="247">
        <v>20</v>
      </c>
      <c r="U504" s="247">
        <v>20</v>
      </c>
      <c r="V504" s="247">
        <v>20</v>
      </c>
      <c r="W504" s="250">
        <f t="shared" si="200"/>
        <v>180</v>
      </c>
      <c r="X504" s="43">
        <v>2024</v>
      </c>
      <c r="Y504" s="140">
        <f t="shared" si="201"/>
        <v>0</v>
      </c>
      <c r="Z504" s="141">
        <f t="shared" si="202"/>
        <v>0</v>
      </c>
      <c r="AA504" s="140">
        <f t="shared" si="203"/>
        <v>0</v>
      </c>
      <c r="AB504" s="140">
        <f t="shared" si="204"/>
        <v>0</v>
      </c>
    </row>
    <row r="505" spans="1:28" s="2" customFormat="1" ht="38.25">
      <c r="A505" s="36" t="s">
        <v>19</v>
      </c>
      <c r="B505" s="37">
        <v>1</v>
      </c>
      <c r="C505" s="37">
        <v>5</v>
      </c>
      <c r="D505" s="37">
        <v>1</v>
      </c>
      <c r="E505" s="37">
        <v>0</v>
      </c>
      <c r="F505" s="37">
        <v>2</v>
      </c>
      <c r="G505" s="37"/>
      <c r="H505" s="40" t="s">
        <v>401</v>
      </c>
      <c r="I505" s="37" t="s">
        <v>21</v>
      </c>
      <c r="J505" s="88">
        <f aca="true" t="shared" si="205" ref="J505:V505">J506</f>
        <v>300</v>
      </c>
      <c r="K505" s="88">
        <f t="shared" si="205"/>
        <v>300</v>
      </c>
      <c r="L505" s="88">
        <f t="shared" si="205"/>
        <v>254</v>
      </c>
      <c r="M505" s="89">
        <f t="shared" si="205"/>
        <v>300</v>
      </c>
      <c r="N505" s="88">
        <v>140.9</v>
      </c>
      <c r="O505" s="88">
        <v>200</v>
      </c>
      <c r="P505" s="349">
        <f t="shared" si="205"/>
        <v>200</v>
      </c>
      <c r="Q505" s="349">
        <v>200</v>
      </c>
      <c r="R505" s="349">
        <f t="shared" si="205"/>
        <v>200</v>
      </c>
      <c r="S505" s="195">
        <v>200</v>
      </c>
      <c r="T505" s="195">
        <f t="shared" si="205"/>
        <v>200</v>
      </c>
      <c r="U505" s="195">
        <v>300</v>
      </c>
      <c r="V505" s="195">
        <f t="shared" si="205"/>
        <v>300</v>
      </c>
      <c r="W505" s="88">
        <f t="shared" si="200"/>
        <v>2194.9</v>
      </c>
      <c r="X505" s="37">
        <v>2024</v>
      </c>
      <c r="Y505" s="140">
        <f t="shared" si="201"/>
        <v>0</v>
      </c>
      <c r="Z505" s="141">
        <f t="shared" si="202"/>
        <v>0</v>
      </c>
      <c r="AA505" s="140">
        <f t="shared" si="203"/>
        <v>0</v>
      </c>
      <c r="AB505" s="140">
        <f t="shared" si="204"/>
        <v>0</v>
      </c>
    </row>
    <row r="506" spans="1:28" s="2" customFormat="1" ht="12.75">
      <c r="A506" s="21" t="s">
        <v>19</v>
      </c>
      <c r="B506" s="22">
        <v>1</v>
      </c>
      <c r="C506" s="22">
        <v>5</v>
      </c>
      <c r="D506" s="22">
        <v>1</v>
      </c>
      <c r="E506" s="22">
        <v>0</v>
      </c>
      <c r="F506" s="22">
        <v>2</v>
      </c>
      <c r="G506" s="22">
        <v>3</v>
      </c>
      <c r="H506" s="26" t="s">
        <v>22</v>
      </c>
      <c r="I506" s="22" t="s">
        <v>21</v>
      </c>
      <c r="J506" s="138">
        <v>300</v>
      </c>
      <c r="K506" s="138">
        <v>300</v>
      </c>
      <c r="L506" s="138">
        <v>254</v>
      </c>
      <c r="M506" s="91">
        <v>300</v>
      </c>
      <c r="N506" s="91">
        <v>140.9</v>
      </c>
      <c r="O506" s="91">
        <v>200</v>
      </c>
      <c r="P506" s="243">
        <v>200</v>
      </c>
      <c r="Q506" s="243">
        <v>200</v>
      </c>
      <c r="R506" s="243">
        <v>200</v>
      </c>
      <c r="S506" s="243">
        <v>200</v>
      </c>
      <c r="T506" s="243">
        <v>200</v>
      </c>
      <c r="U506" s="243">
        <v>300</v>
      </c>
      <c r="V506" s="243">
        <v>300</v>
      </c>
      <c r="W506" s="138">
        <f t="shared" si="200"/>
        <v>2194.9</v>
      </c>
      <c r="X506" s="22">
        <v>2024</v>
      </c>
      <c r="Y506" s="140">
        <f t="shared" si="201"/>
        <v>0</v>
      </c>
      <c r="Z506" s="141">
        <f t="shared" si="202"/>
        <v>0</v>
      </c>
      <c r="AA506" s="140">
        <f t="shared" si="203"/>
        <v>0</v>
      </c>
      <c r="AB506" s="140">
        <f t="shared" si="204"/>
        <v>0</v>
      </c>
    </row>
    <row r="507" spans="1:28" ht="51">
      <c r="A507" s="21" t="s">
        <v>19</v>
      </c>
      <c r="B507" s="22">
        <v>1</v>
      </c>
      <c r="C507" s="22">
        <v>5</v>
      </c>
      <c r="D507" s="22">
        <v>1</v>
      </c>
      <c r="E507" s="22">
        <v>0</v>
      </c>
      <c r="F507" s="22">
        <v>2</v>
      </c>
      <c r="G507" s="43"/>
      <c r="H507" s="44" t="s">
        <v>402</v>
      </c>
      <c r="I507" s="43" t="s">
        <v>48</v>
      </c>
      <c r="J507" s="131">
        <v>5</v>
      </c>
      <c r="K507" s="131">
        <v>6</v>
      </c>
      <c r="L507" s="131">
        <v>6</v>
      </c>
      <c r="M507" s="95">
        <v>5</v>
      </c>
      <c r="N507" s="95">
        <v>9</v>
      </c>
      <c r="O507" s="95">
        <v>6</v>
      </c>
      <c r="P507" s="247">
        <v>6</v>
      </c>
      <c r="Q507" s="247">
        <v>6</v>
      </c>
      <c r="R507" s="247">
        <v>6</v>
      </c>
      <c r="S507" s="247">
        <v>6</v>
      </c>
      <c r="T507" s="247">
        <v>6</v>
      </c>
      <c r="U507" s="247">
        <v>6</v>
      </c>
      <c r="V507" s="247">
        <v>6</v>
      </c>
      <c r="W507" s="131">
        <f t="shared" si="200"/>
        <v>55</v>
      </c>
      <c r="X507" s="43">
        <v>2024</v>
      </c>
      <c r="Y507" s="140">
        <f t="shared" si="201"/>
        <v>0</v>
      </c>
      <c r="Z507" s="141">
        <f t="shared" si="202"/>
        <v>0</v>
      </c>
      <c r="AA507" s="140">
        <f t="shared" si="203"/>
        <v>0</v>
      </c>
      <c r="AB507" s="140">
        <f t="shared" si="204"/>
        <v>0</v>
      </c>
    </row>
    <row r="508" spans="1:28" ht="51">
      <c r="A508" s="21" t="s">
        <v>19</v>
      </c>
      <c r="B508" s="22">
        <v>1</v>
      </c>
      <c r="C508" s="22">
        <v>5</v>
      </c>
      <c r="D508" s="22">
        <v>1</v>
      </c>
      <c r="E508" s="22">
        <v>0</v>
      </c>
      <c r="F508" s="22">
        <v>2</v>
      </c>
      <c r="G508" s="43"/>
      <c r="H508" s="44" t="s">
        <v>403</v>
      </c>
      <c r="I508" s="43" t="s">
        <v>57</v>
      </c>
      <c r="J508" s="131">
        <v>1</v>
      </c>
      <c r="K508" s="131">
        <v>1</v>
      </c>
      <c r="L508" s="131">
        <v>1</v>
      </c>
      <c r="M508" s="95">
        <v>1</v>
      </c>
      <c r="N508" s="95">
        <v>1</v>
      </c>
      <c r="O508" s="95">
        <v>1</v>
      </c>
      <c r="P508" s="247">
        <v>1</v>
      </c>
      <c r="Q508" s="247">
        <v>1</v>
      </c>
      <c r="R508" s="247">
        <v>1</v>
      </c>
      <c r="S508" s="247">
        <v>1</v>
      </c>
      <c r="T508" s="247">
        <v>1</v>
      </c>
      <c r="U508" s="247">
        <v>1</v>
      </c>
      <c r="V508" s="247">
        <v>1</v>
      </c>
      <c r="W508" s="131">
        <f t="shared" si="200"/>
        <v>9</v>
      </c>
      <c r="X508" s="43">
        <v>2024</v>
      </c>
      <c r="Y508" s="140">
        <f t="shared" si="201"/>
        <v>0</v>
      </c>
      <c r="Z508" s="141">
        <f t="shared" si="202"/>
        <v>0</v>
      </c>
      <c r="AA508" s="140">
        <f t="shared" si="203"/>
        <v>0</v>
      </c>
      <c r="AB508" s="140">
        <f t="shared" si="204"/>
        <v>0</v>
      </c>
    </row>
    <row r="509" spans="1:28" ht="38.25">
      <c r="A509" s="21" t="s">
        <v>19</v>
      </c>
      <c r="B509" s="22">
        <v>1</v>
      </c>
      <c r="C509" s="22">
        <v>5</v>
      </c>
      <c r="D509" s="22">
        <v>1</v>
      </c>
      <c r="E509" s="22">
        <v>0</v>
      </c>
      <c r="F509" s="22">
        <v>2</v>
      </c>
      <c r="G509" s="43"/>
      <c r="H509" s="44" t="s">
        <v>404</v>
      </c>
      <c r="I509" s="43" t="s">
        <v>57</v>
      </c>
      <c r="J509" s="131">
        <v>2</v>
      </c>
      <c r="K509" s="131">
        <v>2</v>
      </c>
      <c r="L509" s="131">
        <v>2</v>
      </c>
      <c r="M509" s="95">
        <v>2</v>
      </c>
      <c r="N509" s="95">
        <v>0</v>
      </c>
      <c r="O509" s="95">
        <v>2</v>
      </c>
      <c r="P509" s="247">
        <v>2</v>
      </c>
      <c r="Q509" s="247">
        <v>2</v>
      </c>
      <c r="R509" s="247">
        <v>2</v>
      </c>
      <c r="S509" s="247">
        <v>2</v>
      </c>
      <c r="T509" s="247">
        <v>2</v>
      </c>
      <c r="U509" s="247">
        <v>2</v>
      </c>
      <c r="V509" s="247">
        <v>2</v>
      </c>
      <c r="W509" s="131">
        <f t="shared" si="200"/>
        <v>16</v>
      </c>
      <c r="X509" s="43">
        <v>2024</v>
      </c>
      <c r="Y509" s="140">
        <f t="shared" si="201"/>
        <v>0</v>
      </c>
      <c r="Z509" s="141">
        <f t="shared" si="202"/>
        <v>0</v>
      </c>
      <c r="AA509" s="140">
        <f t="shared" si="203"/>
        <v>0</v>
      </c>
      <c r="AB509" s="140">
        <f t="shared" si="204"/>
        <v>0</v>
      </c>
    </row>
    <row r="510" spans="1:28" s="2" customFormat="1" ht="25.5">
      <c r="A510" s="160" t="s">
        <v>19</v>
      </c>
      <c r="B510" s="34">
        <v>1</v>
      </c>
      <c r="C510" s="34">
        <v>5</v>
      </c>
      <c r="D510" s="34">
        <v>2</v>
      </c>
      <c r="E510" s="34">
        <v>0</v>
      </c>
      <c r="F510" s="34">
        <v>0</v>
      </c>
      <c r="G510" s="34"/>
      <c r="H510" s="35" t="s">
        <v>405</v>
      </c>
      <c r="I510" s="34" t="s">
        <v>21</v>
      </c>
      <c r="J510" s="81">
        <f aca="true" t="shared" si="206" ref="J510:V510">J511</f>
        <v>10</v>
      </c>
      <c r="K510" s="81">
        <f t="shared" si="206"/>
        <v>10</v>
      </c>
      <c r="L510" s="81">
        <f t="shared" si="206"/>
        <v>10</v>
      </c>
      <c r="M510" s="81">
        <f t="shared" si="206"/>
        <v>10</v>
      </c>
      <c r="N510" s="81">
        <v>9.6</v>
      </c>
      <c r="O510" s="81">
        <v>100</v>
      </c>
      <c r="P510" s="242">
        <f t="shared" si="206"/>
        <v>100</v>
      </c>
      <c r="Q510" s="242">
        <v>100</v>
      </c>
      <c r="R510" s="242">
        <f t="shared" si="206"/>
        <v>100</v>
      </c>
      <c r="S510" s="242">
        <v>100</v>
      </c>
      <c r="T510" s="242">
        <f t="shared" si="206"/>
        <v>100</v>
      </c>
      <c r="U510" s="242">
        <v>10</v>
      </c>
      <c r="V510" s="242">
        <f t="shared" si="206"/>
        <v>10</v>
      </c>
      <c r="W510" s="81">
        <f t="shared" si="200"/>
        <v>359.6</v>
      </c>
      <c r="X510" s="34">
        <v>2024</v>
      </c>
      <c r="Y510" s="140">
        <f t="shared" si="201"/>
        <v>0</v>
      </c>
      <c r="Z510" s="141">
        <f t="shared" si="202"/>
        <v>0</v>
      </c>
      <c r="AA510" s="140">
        <f t="shared" si="203"/>
        <v>0</v>
      </c>
      <c r="AB510" s="140">
        <f t="shared" si="204"/>
        <v>0</v>
      </c>
    </row>
    <row r="511" spans="1:28" s="2" customFormat="1" ht="12.75">
      <c r="A511" s="21" t="s">
        <v>19</v>
      </c>
      <c r="B511" s="22">
        <v>1</v>
      </c>
      <c r="C511" s="22">
        <v>5</v>
      </c>
      <c r="D511" s="22">
        <v>2</v>
      </c>
      <c r="E511" s="22">
        <v>0</v>
      </c>
      <c r="F511" s="22">
        <v>0</v>
      </c>
      <c r="G511" s="22">
        <v>3</v>
      </c>
      <c r="H511" s="26" t="s">
        <v>22</v>
      </c>
      <c r="I511" s="22" t="s">
        <v>21</v>
      </c>
      <c r="J511" s="138">
        <f aca="true" t="shared" si="207" ref="J511:V511">J518</f>
        <v>10</v>
      </c>
      <c r="K511" s="138">
        <f t="shared" si="207"/>
        <v>10</v>
      </c>
      <c r="L511" s="138">
        <f t="shared" si="207"/>
        <v>10</v>
      </c>
      <c r="M511" s="91">
        <f t="shared" si="207"/>
        <v>10</v>
      </c>
      <c r="N511" s="91">
        <v>9.6</v>
      </c>
      <c r="O511" s="91">
        <v>100</v>
      </c>
      <c r="P511" s="243">
        <f t="shared" si="207"/>
        <v>100</v>
      </c>
      <c r="Q511" s="243">
        <v>100</v>
      </c>
      <c r="R511" s="243">
        <f t="shared" si="207"/>
        <v>100</v>
      </c>
      <c r="S511" s="243">
        <v>100</v>
      </c>
      <c r="T511" s="243">
        <f t="shared" si="207"/>
        <v>100</v>
      </c>
      <c r="U511" s="243">
        <v>10</v>
      </c>
      <c r="V511" s="243">
        <f t="shared" si="207"/>
        <v>10</v>
      </c>
      <c r="W511" s="138">
        <f t="shared" si="200"/>
        <v>359.6</v>
      </c>
      <c r="X511" s="45">
        <v>2024</v>
      </c>
      <c r="Y511" s="140">
        <f t="shared" si="201"/>
        <v>0</v>
      </c>
      <c r="Z511" s="141">
        <f t="shared" si="202"/>
        <v>0</v>
      </c>
      <c r="AA511" s="140">
        <f t="shared" si="203"/>
        <v>0</v>
      </c>
      <c r="AB511" s="140">
        <f t="shared" si="204"/>
        <v>0</v>
      </c>
    </row>
    <row r="512" spans="1:28" ht="38.25">
      <c r="A512" s="21" t="s">
        <v>19</v>
      </c>
      <c r="B512" s="22">
        <v>1</v>
      </c>
      <c r="C512" s="22">
        <v>5</v>
      </c>
      <c r="D512" s="22">
        <v>2</v>
      </c>
      <c r="E512" s="22">
        <v>0</v>
      </c>
      <c r="F512" s="22">
        <v>0</v>
      </c>
      <c r="G512" s="43"/>
      <c r="H512" s="44" t="s">
        <v>406</v>
      </c>
      <c r="I512" s="43" t="s">
        <v>28</v>
      </c>
      <c r="J512" s="43">
        <v>65.2</v>
      </c>
      <c r="K512" s="43">
        <v>76.1</v>
      </c>
      <c r="L512" s="43">
        <v>100</v>
      </c>
      <c r="M512" s="207">
        <v>100</v>
      </c>
      <c r="N512" s="217">
        <v>100</v>
      </c>
      <c r="O512" s="236">
        <v>100</v>
      </c>
      <c r="P512" s="351">
        <v>100</v>
      </c>
      <c r="Q512" s="351">
        <v>100</v>
      </c>
      <c r="R512" s="351">
        <v>100</v>
      </c>
      <c r="S512" s="351">
        <v>100</v>
      </c>
      <c r="T512" s="351">
        <v>100</v>
      </c>
      <c r="U512" s="351">
        <v>100</v>
      </c>
      <c r="V512" s="351">
        <v>100</v>
      </c>
      <c r="W512" s="120">
        <v>100</v>
      </c>
      <c r="X512" s="43">
        <v>2024</v>
      </c>
      <c r="Y512" s="140">
        <f t="shared" si="201"/>
        <v>0</v>
      </c>
      <c r="Z512" s="141">
        <f t="shared" si="202"/>
        <v>0</v>
      </c>
      <c r="AA512" s="140">
        <f t="shared" si="203"/>
        <v>0</v>
      </c>
      <c r="AB512" s="140">
        <f t="shared" si="204"/>
        <v>0</v>
      </c>
    </row>
    <row r="513" spans="1:28" ht="38.25">
      <c r="A513" s="21" t="s">
        <v>19</v>
      </c>
      <c r="B513" s="22">
        <v>1</v>
      </c>
      <c r="C513" s="22">
        <v>5</v>
      </c>
      <c r="D513" s="22">
        <v>2</v>
      </c>
      <c r="E513" s="22">
        <v>0</v>
      </c>
      <c r="F513" s="22">
        <v>0</v>
      </c>
      <c r="G513" s="43"/>
      <c r="H513" s="44" t="s">
        <v>407</v>
      </c>
      <c r="I513" s="43" t="s">
        <v>57</v>
      </c>
      <c r="J513" s="131">
        <v>189</v>
      </c>
      <c r="K513" s="131">
        <v>733</v>
      </c>
      <c r="L513" s="131">
        <v>1449</v>
      </c>
      <c r="M513" s="190">
        <v>1817</v>
      </c>
      <c r="N513" s="190">
        <v>2039</v>
      </c>
      <c r="O513" s="190">
        <v>2050</v>
      </c>
      <c r="P513" s="244">
        <v>2050</v>
      </c>
      <c r="Q513" s="244">
        <v>2075</v>
      </c>
      <c r="R513" s="244">
        <v>2075</v>
      </c>
      <c r="S513" s="244">
        <v>2083</v>
      </c>
      <c r="T513" s="244">
        <v>2083</v>
      </c>
      <c r="U513" s="244">
        <v>2090</v>
      </c>
      <c r="V513" s="244">
        <v>2090</v>
      </c>
      <c r="W513" s="131">
        <f>J513+K513+L513+M513+N513+P513+R513+T513+V513</f>
        <v>14525</v>
      </c>
      <c r="X513" s="43">
        <v>2024</v>
      </c>
      <c r="Y513" s="140">
        <f t="shared" si="201"/>
        <v>0</v>
      </c>
      <c r="Z513" s="141">
        <f t="shared" si="202"/>
        <v>0</v>
      </c>
      <c r="AA513" s="140">
        <f t="shared" si="203"/>
        <v>0</v>
      </c>
      <c r="AB513" s="140">
        <f t="shared" si="204"/>
        <v>0</v>
      </c>
    </row>
    <row r="514" spans="1:28" ht="51">
      <c r="A514" s="36" t="s">
        <v>19</v>
      </c>
      <c r="B514" s="37">
        <v>1</v>
      </c>
      <c r="C514" s="37">
        <v>5</v>
      </c>
      <c r="D514" s="37">
        <v>2</v>
      </c>
      <c r="E514" s="37">
        <v>0</v>
      </c>
      <c r="F514" s="37">
        <v>1</v>
      </c>
      <c r="G514" s="38"/>
      <c r="H514" s="39" t="s">
        <v>408</v>
      </c>
      <c r="I514" s="38" t="s">
        <v>43</v>
      </c>
      <c r="J514" s="87" t="s">
        <v>44</v>
      </c>
      <c r="K514" s="87" t="s">
        <v>44</v>
      </c>
      <c r="L514" s="87" t="s">
        <v>44</v>
      </c>
      <c r="M514" s="125" t="s">
        <v>44</v>
      </c>
      <c r="N514" s="87" t="s">
        <v>44</v>
      </c>
      <c r="O514" s="87" t="s">
        <v>44</v>
      </c>
      <c r="P514" s="246" t="s">
        <v>44</v>
      </c>
      <c r="Q514" s="246" t="s">
        <v>44</v>
      </c>
      <c r="R514" s="246" t="s">
        <v>44</v>
      </c>
      <c r="S514" s="246" t="s">
        <v>44</v>
      </c>
      <c r="T514" s="246" t="s">
        <v>44</v>
      </c>
      <c r="U514" s="246" t="s">
        <v>44</v>
      </c>
      <c r="V514" s="246" t="s">
        <v>44</v>
      </c>
      <c r="W514" s="87" t="s">
        <v>44</v>
      </c>
      <c r="X514" s="38">
        <v>2024</v>
      </c>
      <c r="Y514" s="140"/>
      <c r="Z514" s="141"/>
      <c r="AA514" s="140"/>
      <c r="AB514" s="140"/>
    </row>
    <row r="515" spans="1:28" ht="38.25">
      <c r="A515" s="21" t="s">
        <v>19</v>
      </c>
      <c r="B515" s="22">
        <v>1</v>
      </c>
      <c r="C515" s="22">
        <v>5</v>
      </c>
      <c r="D515" s="22">
        <v>2</v>
      </c>
      <c r="E515" s="22">
        <v>0</v>
      </c>
      <c r="F515" s="22">
        <v>1</v>
      </c>
      <c r="G515" s="43"/>
      <c r="H515" s="44" t="s">
        <v>409</v>
      </c>
      <c r="I515" s="43" t="s">
        <v>57</v>
      </c>
      <c r="J515" s="131">
        <v>7000</v>
      </c>
      <c r="K515" s="131">
        <v>7500</v>
      </c>
      <c r="L515" s="131">
        <v>0</v>
      </c>
      <c r="M515" s="95">
        <v>0</v>
      </c>
      <c r="N515" s="95">
        <v>0</v>
      </c>
      <c r="O515" s="95">
        <v>0</v>
      </c>
      <c r="P515" s="247">
        <v>0</v>
      </c>
      <c r="Q515" s="247">
        <v>0</v>
      </c>
      <c r="R515" s="247">
        <v>0</v>
      </c>
      <c r="S515" s="247">
        <v>0</v>
      </c>
      <c r="T515" s="247">
        <v>0</v>
      </c>
      <c r="U515" s="247">
        <v>0</v>
      </c>
      <c r="V515" s="247">
        <v>0</v>
      </c>
      <c r="W515" s="131">
        <f aca="true" t="shared" si="208" ref="W515:W524">J515+K515+L515+M515+N515+P515+R515+T515+V515</f>
        <v>14500</v>
      </c>
      <c r="X515" s="43">
        <v>2017</v>
      </c>
      <c r="Y515" s="140">
        <f aca="true" t="shared" si="209" ref="Y515:Y528">P515-O515</f>
        <v>0</v>
      </c>
      <c r="Z515" s="141">
        <f aca="true" t="shared" si="210" ref="Z515:Z528">R515-Q515</f>
        <v>0</v>
      </c>
      <c r="AA515" s="140">
        <f aca="true" t="shared" si="211" ref="AA515:AA528">T515-S515</f>
        <v>0</v>
      </c>
      <c r="AB515" s="140">
        <f aca="true" t="shared" si="212" ref="AB515:AB528">V515-U515</f>
        <v>0</v>
      </c>
    </row>
    <row r="516" spans="1:28" ht="38.25">
      <c r="A516" s="21" t="s">
        <v>19</v>
      </c>
      <c r="B516" s="22">
        <v>1</v>
      </c>
      <c r="C516" s="22">
        <v>5</v>
      </c>
      <c r="D516" s="22">
        <v>2</v>
      </c>
      <c r="E516" s="22">
        <v>0</v>
      </c>
      <c r="F516" s="22">
        <v>1</v>
      </c>
      <c r="G516" s="43"/>
      <c r="H516" s="44" t="s">
        <v>410</v>
      </c>
      <c r="I516" s="43" t="s">
        <v>57</v>
      </c>
      <c r="J516" s="131">
        <v>0</v>
      </c>
      <c r="K516" s="131">
        <v>0</v>
      </c>
      <c r="L516" s="131">
        <v>8</v>
      </c>
      <c r="M516" s="95">
        <v>6</v>
      </c>
      <c r="N516" s="95">
        <v>8</v>
      </c>
      <c r="O516" s="95">
        <v>8</v>
      </c>
      <c r="P516" s="247">
        <v>8</v>
      </c>
      <c r="Q516" s="247">
        <v>8</v>
      </c>
      <c r="R516" s="247">
        <v>8</v>
      </c>
      <c r="S516" s="247">
        <v>8</v>
      </c>
      <c r="T516" s="247">
        <v>8</v>
      </c>
      <c r="U516" s="247">
        <v>8</v>
      </c>
      <c r="V516" s="247">
        <v>8</v>
      </c>
      <c r="W516" s="131">
        <f t="shared" si="208"/>
        <v>54</v>
      </c>
      <c r="X516" s="43">
        <v>2024</v>
      </c>
      <c r="Y516" s="140">
        <f t="shared" si="209"/>
        <v>0</v>
      </c>
      <c r="Z516" s="141">
        <f t="shared" si="210"/>
        <v>0</v>
      </c>
      <c r="AA516" s="140">
        <f t="shared" si="211"/>
        <v>0</v>
      </c>
      <c r="AB516" s="140">
        <f t="shared" si="212"/>
        <v>0</v>
      </c>
    </row>
    <row r="517" spans="1:28" s="2" customFormat="1" ht="38.25">
      <c r="A517" s="36" t="s">
        <v>19</v>
      </c>
      <c r="B517" s="37">
        <v>1</v>
      </c>
      <c r="C517" s="37">
        <v>5</v>
      </c>
      <c r="D517" s="37">
        <v>2</v>
      </c>
      <c r="E517" s="37">
        <v>0</v>
      </c>
      <c r="F517" s="37">
        <v>2</v>
      </c>
      <c r="G517" s="37">
        <v>3</v>
      </c>
      <c r="H517" s="40" t="s">
        <v>411</v>
      </c>
      <c r="I517" s="37" t="s">
        <v>21</v>
      </c>
      <c r="J517" s="88">
        <f aca="true" t="shared" si="213" ref="J517:V517">J518</f>
        <v>10</v>
      </c>
      <c r="K517" s="88">
        <f t="shared" si="213"/>
        <v>10</v>
      </c>
      <c r="L517" s="88">
        <f t="shared" si="213"/>
        <v>10</v>
      </c>
      <c r="M517" s="89">
        <f t="shared" si="213"/>
        <v>10</v>
      </c>
      <c r="N517" s="88">
        <v>9.6</v>
      </c>
      <c r="O517" s="88">
        <v>100</v>
      </c>
      <c r="P517" s="349">
        <f t="shared" si="213"/>
        <v>100</v>
      </c>
      <c r="Q517" s="349">
        <v>100</v>
      </c>
      <c r="R517" s="349">
        <f t="shared" si="213"/>
        <v>100</v>
      </c>
      <c r="S517" s="195">
        <v>100</v>
      </c>
      <c r="T517" s="195">
        <f t="shared" si="213"/>
        <v>100</v>
      </c>
      <c r="U517" s="195">
        <v>10</v>
      </c>
      <c r="V517" s="195">
        <f t="shared" si="213"/>
        <v>10</v>
      </c>
      <c r="W517" s="88">
        <f t="shared" si="208"/>
        <v>359.6</v>
      </c>
      <c r="X517" s="37">
        <v>2024</v>
      </c>
      <c r="Y517" s="140">
        <f t="shared" si="209"/>
        <v>0</v>
      </c>
      <c r="Z517" s="141">
        <f t="shared" si="210"/>
        <v>0</v>
      </c>
      <c r="AA517" s="140">
        <f t="shared" si="211"/>
        <v>0</v>
      </c>
      <c r="AB517" s="140">
        <f t="shared" si="212"/>
        <v>0</v>
      </c>
    </row>
    <row r="518" spans="1:28" s="2" customFormat="1" ht="12.75">
      <c r="A518" s="21" t="s">
        <v>19</v>
      </c>
      <c r="B518" s="22">
        <v>1</v>
      </c>
      <c r="C518" s="22">
        <v>5</v>
      </c>
      <c r="D518" s="22">
        <v>2</v>
      </c>
      <c r="E518" s="22">
        <v>0</v>
      </c>
      <c r="F518" s="22">
        <v>2</v>
      </c>
      <c r="G518" s="22">
        <v>3</v>
      </c>
      <c r="H518" s="26" t="s">
        <v>22</v>
      </c>
      <c r="I518" s="22" t="s">
        <v>21</v>
      </c>
      <c r="J518" s="138">
        <v>10</v>
      </c>
      <c r="K518" s="138">
        <v>10</v>
      </c>
      <c r="L518" s="138">
        <v>10</v>
      </c>
      <c r="M518" s="91">
        <v>10</v>
      </c>
      <c r="N518" s="91">
        <v>9.6</v>
      </c>
      <c r="O518" s="91">
        <v>100</v>
      </c>
      <c r="P518" s="243">
        <v>100</v>
      </c>
      <c r="Q518" s="243">
        <v>100</v>
      </c>
      <c r="R518" s="243">
        <v>100</v>
      </c>
      <c r="S518" s="243">
        <v>100</v>
      </c>
      <c r="T518" s="243">
        <v>100</v>
      </c>
      <c r="U518" s="243">
        <v>10</v>
      </c>
      <c r="V518" s="243">
        <v>10</v>
      </c>
      <c r="W518" s="138">
        <f t="shared" si="208"/>
        <v>359.6</v>
      </c>
      <c r="X518" s="22">
        <v>2024</v>
      </c>
      <c r="Y518" s="140">
        <f t="shared" si="209"/>
        <v>0</v>
      </c>
      <c r="Z518" s="141">
        <f t="shared" si="210"/>
        <v>0</v>
      </c>
      <c r="AA518" s="140">
        <f t="shared" si="211"/>
        <v>0</v>
      </c>
      <c r="AB518" s="140">
        <f t="shared" si="212"/>
        <v>0</v>
      </c>
    </row>
    <row r="519" spans="1:28" ht="38.25">
      <c r="A519" s="21" t="s">
        <v>19</v>
      </c>
      <c r="B519" s="22">
        <v>1</v>
      </c>
      <c r="C519" s="22">
        <v>5</v>
      </c>
      <c r="D519" s="22">
        <v>2</v>
      </c>
      <c r="E519" s="22">
        <v>0</v>
      </c>
      <c r="F519" s="22">
        <v>2</v>
      </c>
      <c r="G519" s="43"/>
      <c r="H519" s="44" t="s">
        <v>412</v>
      </c>
      <c r="I519" s="43" t="s">
        <v>57</v>
      </c>
      <c r="J519" s="131">
        <v>1</v>
      </c>
      <c r="K519" s="131">
        <v>1</v>
      </c>
      <c r="L519" s="131">
        <v>0</v>
      </c>
      <c r="M519" s="95">
        <v>0</v>
      </c>
      <c r="N519" s="95">
        <v>0</v>
      </c>
      <c r="O519" s="95">
        <v>0</v>
      </c>
      <c r="P519" s="247">
        <v>0</v>
      </c>
      <c r="Q519" s="247">
        <v>0</v>
      </c>
      <c r="R519" s="247">
        <v>0</v>
      </c>
      <c r="S519" s="247">
        <v>0</v>
      </c>
      <c r="T519" s="247">
        <v>0</v>
      </c>
      <c r="U519" s="247">
        <v>0</v>
      </c>
      <c r="V519" s="247">
        <v>0</v>
      </c>
      <c r="W519" s="131">
        <f t="shared" si="208"/>
        <v>2</v>
      </c>
      <c r="X519" s="43">
        <v>2017</v>
      </c>
      <c r="Y519" s="140">
        <f t="shared" si="209"/>
        <v>0</v>
      </c>
      <c r="Z519" s="141">
        <f t="shared" si="210"/>
        <v>0</v>
      </c>
      <c r="AA519" s="140">
        <f t="shared" si="211"/>
        <v>0</v>
      </c>
      <c r="AB519" s="140">
        <f t="shared" si="212"/>
        <v>0</v>
      </c>
    </row>
    <row r="520" spans="1:28" ht="63.75">
      <c r="A520" s="21" t="s">
        <v>19</v>
      </c>
      <c r="B520" s="22">
        <v>1</v>
      </c>
      <c r="C520" s="22">
        <v>5</v>
      </c>
      <c r="D520" s="22">
        <v>2</v>
      </c>
      <c r="E520" s="22">
        <v>0</v>
      </c>
      <c r="F520" s="22">
        <v>2</v>
      </c>
      <c r="G520" s="43"/>
      <c r="H520" s="44" t="s">
        <v>413</v>
      </c>
      <c r="I520" s="43" t="s">
        <v>57</v>
      </c>
      <c r="J520" s="131">
        <v>1</v>
      </c>
      <c r="K520" s="131">
        <v>1</v>
      </c>
      <c r="L520" s="131">
        <v>1</v>
      </c>
      <c r="M520" s="95">
        <v>1</v>
      </c>
      <c r="N520" s="95">
        <v>6</v>
      </c>
      <c r="O520" s="95">
        <v>4</v>
      </c>
      <c r="P520" s="247">
        <v>4</v>
      </c>
      <c r="Q520" s="247">
        <v>4</v>
      </c>
      <c r="R520" s="247">
        <v>4</v>
      </c>
      <c r="S520" s="247">
        <v>4</v>
      </c>
      <c r="T520" s="247">
        <v>4</v>
      </c>
      <c r="U520" s="247">
        <v>1</v>
      </c>
      <c r="V520" s="247">
        <v>1</v>
      </c>
      <c r="W520" s="131">
        <f t="shared" si="208"/>
        <v>23</v>
      </c>
      <c r="X520" s="43">
        <v>2024</v>
      </c>
      <c r="Y520" s="140">
        <f t="shared" si="209"/>
        <v>0</v>
      </c>
      <c r="Z520" s="141">
        <f t="shared" si="210"/>
        <v>0</v>
      </c>
      <c r="AA520" s="140">
        <f t="shared" si="211"/>
        <v>0</v>
      </c>
      <c r="AB520" s="140">
        <f t="shared" si="212"/>
        <v>0</v>
      </c>
    </row>
    <row r="521" spans="1:28" ht="38.25">
      <c r="A521" s="21" t="s">
        <v>19</v>
      </c>
      <c r="B521" s="22">
        <v>1</v>
      </c>
      <c r="C521" s="22">
        <v>5</v>
      </c>
      <c r="D521" s="22">
        <v>2</v>
      </c>
      <c r="E521" s="22">
        <v>0</v>
      </c>
      <c r="F521" s="22">
        <v>2</v>
      </c>
      <c r="G521" s="43"/>
      <c r="H521" s="44" t="s">
        <v>414</v>
      </c>
      <c r="I521" s="43" t="s">
        <v>57</v>
      </c>
      <c r="J521" s="131">
        <v>0</v>
      </c>
      <c r="K521" s="131">
        <v>0</v>
      </c>
      <c r="L521" s="131">
        <v>7630</v>
      </c>
      <c r="M521" s="190">
        <v>14680</v>
      </c>
      <c r="N521" s="190">
        <v>15919</v>
      </c>
      <c r="O521" s="190">
        <v>14720</v>
      </c>
      <c r="P521" s="244">
        <v>14720</v>
      </c>
      <c r="Q521" s="244">
        <v>14720</v>
      </c>
      <c r="R521" s="244">
        <v>14720</v>
      </c>
      <c r="S521" s="244">
        <v>14720</v>
      </c>
      <c r="T521" s="244">
        <v>14720</v>
      </c>
      <c r="U521" s="244">
        <v>14720</v>
      </c>
      <c r="V521" s="244">
        <v>14720</v>
      </c>
      <c r="W521" s="131">
        <f t="shared" si="208"/>
        <v>97109</v>
      </c>
      <c r="X521" s="43">
        <v>2024</v>
      </c>
      <c r="Y521" s="140">
        <f t="shared" si="209"/>
        <v>0</v>
      </c>
      <c r="Z521" s="141">
        <f t="shared" si="210"/>
        <v>0</v>
      </c>
      <c r="AA521" s="140">
        <f t="shared" si="211"/>
        <v>0</v>
      </c>
      <c r="AB521" s="140">
        <f t="shared" si="212"/>
        <v>0</v>
      </c>
    </row>
    <row r="522" spans="1:28" s="2" customFormat="1" ht="38.25">
      <c r="A522" s="160" t="s">
        <v>19</v>
      </c>
      <c r="B522" s="34">
        <v>1</v>
      </c>
      <c r="C522" s="34">
        <v>5</v>
      </c>
      <c r="D522" s="34">
        <v>3</v>
      </c>
      <c r="E522" s="34">
        <v>0</v>
      </c>
      <c r="F522" s="34">
        <v>0</v>
      </c>
      <c r="G522" s="34"/>
      <c r="H522" s="35" t="s">
        <v>415</v>
      </c>
      <c r="I522" s="34" t="s">
        <v>21</v>
      </c>
      <c r="J522" s="81">
        <f aca="true" t="shared" si="214" ref="J522:V522">J523+J524</f>
        <v>59735.7</v>
      </c>
      <c r="K522" s="81">
        <f t="shared" si="214"/>
        <v>90116.3</v>
      </c>
      <c r="L522" s="81">
        <f t="shared" si="214"/>
        <v>41321.8</v>
      </c>
      <c r="M522" s="81">
        <f t="shared" si="214"/>
        <v>43597.4</v>
      </c>
      <c r="N522" s="242">
        <v>24882.8</v>
      </c>
      <c r="O522" s="242">
        <v>23559</v>
      </c>
      <c r="P522" s="242">
        <f t="shared" si="214"/>
        <v>38559</v>
      </c>
      <c r="Q522" s="242">
        <v>11549.5</v>
      </c>
      <c r="R522" s="242">
        <f t="shared" si="214"/>
        <v>11549.5</v>
      </c>
      <c r="S522" s="242">
        <v>11597.2</v>
      </c>
      <c r="T522" s="242">
        <f t="shared" si="214"/>
        <v>11597.2</v>
      </c>
      <c r="U522" s="242">
        <v>11163.3</v>
      </c>
      <c r="V522" s="242">
        <f t="shared" si="214"/>
        <v>11163.3</v>
      </c>
      <c r="W522" s="81">
        <f t="shared" si="208"/>
        <v>332523</v>
      </c>
      <c r="X522" s="34">
        <v>2024</v>
      </c>
      <c r="Y522" s="140">
        <f t="shared" si="209"/>
        <v>15000</v>
      </c>
      <c r="Z522" s="141">
        <f t="shared" si="210"/>
        <v>0</v>
      </c>
      <c r="AA522" s="140">
        <f t="shared" si="211"/>
        <v>0</v>
      </c>
      <c r="AB522" s="140">
        <f t="shared" si="212"/>
        <v>0</v>
      </c>
    </row>
    <row r="523" spans="1:28" s="2" customFormat="1" ht="12.75">
      <c r="A523" s="21" t="s">
        <v>19</v>
      </c>
      <c r="B523" s="22">
        <v>1</v>
      </c>
      <c r="C523" s="22">
        <v>5</v>
      </c>
      <c r="D523" s="22">
        <v>3</v>
      </c>
      <c r="E523" s="22">
        <v>0</v>
      </c>
      <c r="F523" s="22">
        <v>0</v>
      </c>
      <c r="G523" s="22">
        <v>3</v>
      </c>
      <c r="H523" s="26" t="s">
        <v>22</v>
      </c>
      <c r="I523" s="22" t="s">
        <v>21</v>
      </c>
      <c r="J523" s="138">
        <f aca="true" t="shared" si="215" ref="J523:V523">J539+J546+J551</f>
        <v>58792.5</v>
      </c>
      <c r="K523" s="138">
        <f t="shared" si="215"/>
        <v>89157.3</v>
      </c>
      <c r="L523" s="138">
        <f t="shared" si="215"/>
        <v>40155.2</v>
      </c>
      <c r="M523" s="91">
        <f t="shared" si="215"/>
        <v>42482.1</v>
      </c>
      <c r="N523" s="243">
        <v>23617.7</v>
      </c>
      <c r="O523" s="243">
        <v>22639.9</v>
      </c>
      <c r="P523" s="243">
        <f>P539+P546+P551+P532</f>
        <v>37639.9</v>
      </c>
      <c r="Q523" s="243">
        <v>10360</v>
      </c>
      <c r="R523" s="243">
        <f t="shared" si="215"/>
        <v>10360</v>
      </c>
      <c r="S523" s="243">
        <v>10360</v>
      </c>
      <c r="T523" s="243">
        <f t="shared" si="215"/>
        <v>10360</v>
      </c>
      <c r="U523" s="243">
        <v>10240</v>
      </c>
      <c r="V523" s="243">
        <f t="shared" si="215"/>
        <v>10240</v>
      </c>
      <c r="W523" s="138">
        <f t="shared" si="208"/>
        <v>322804.7</v>
      </c>
      <c r="X523" s="22">
        <v>2024</v>
      </c>
      <c r="Y523" s="140">
        <f t="shared" si="209"/>
        <v>15000</v>
      </c>
      <c r="Z523" s="141">
        <f t="shared" si="210"/>
        <v>0</v>
      </c>
      <c r="AA523" s="140">
        <f t="shared" si="211"/>
        <v>0</v>
      </c>
      <c r="AB523" s="140">
        <f t="shared" si="212"/>
        <v>0</v>
      </c>
    </row>
    <row r="524" spans="1:28" s="2" customFormat="1" ht="12.75">
      <c r="A524" s="21" t="s">
        <v>19</v>
      </c>
      <c r="B524" s="22">
        <v>1</v>
      </c>
      <c r="C524" s="22">
        <v>5</v>
      </c>
      <c r="D524" s="22">
        <v>3</v>
      </c>
      <c r="E524" s="22">
        <v>0</v>
      </c>
      <c r="F524" s="22">
        <v>0</v>
      </c>
      <c r="G524" s="22">
        <v>2</v>
      </c>
      <c r="H524" s="26" t="s">
        <v>23</v>
      </c>
      <c r="I524" s="22" t="s">
        <v>21</v>
      </c>
      <c r="J524" s="138">
        <f aca="true" t="shared" si="216" ref="J524:V524">J533</f>
        <v>943.2</v>
      </c>
      <c r="K524" s="138">
        <f t="shared" si="216"/>
        <v>959</v>
      </c>
      <c r="L524" s="138">
        <f t="shared" si="216"/>
        <v>1166.6</v>
      </c>
      <c r="M524" s="91">
        <f t="shared" si="216"/>
        <v>1115.3</v>
      </c>
      <c r="N524" s="243">
        <v>1265.1</v>
      </c>
      <c r="O524" s="243">
        <v>919.1</v>
      </c>
      <c r="P524" s="243">
        <f t="shared" si="216"/>
        <v>919.1</v>
      </c>
      <c r="Q524" s="243">
        <v>1189.5</v>
      </c>
      <c r="R524" s="243">
        <f t="shared" si="216"/>
        <v>1189.5</v>
      </c>
      <c r="S524" s="243">
        <v>1237.2</v>
      </c>
      <c r="T524" s="243">
        <f t="shared" si="216"/>
        <v>1237.2</v>
      </c>
      <c r="U524" s="243">
        <v>923.3</v>
      </c>
      <c r="V524" s="243">
        <f t="shared" si="216"/>
        <v>923.3</v>
      </c>
      <c r="W524" s="138">
        <f t="shared" si="208"/>
        <v>9718.3</v>
      </c>
      <c r="X524" s="22">
        <v>2024</v>
      </c>
      <c r="Y524" s="140">
        <f t="shared" si="209"/>
        <v>0</v>
      </c>
      <c r="Z524" s="141">
        <f t="shared" si="210"/>
        <v>0</v>
      </c>
      <c r="AA524" s="140">
        <f t="shared" si="211"/>
        <v>0</v>
      </c>
      <c r="AB524" s="140">
        <f t="shared" si="212"/>
        <v>0</v>
      </c>
    </row>
    <row r="525" spans="1:28" ht="76.5">
      <c r="A525" s="21" t="s">
        <v>19</v>
      </c>
      <c r="B525" s="22">
        <v>1</v>
      </c>
      <c r="C525" s="22">
        <v>5</v>
      </c>
      <c r="D525" s="22">
        <v>3</v>
      </c>
      <c r="E525" s="22">
        <v>0</v>
      </c>
      <c r="F525" s="22">
        <v>0</v>
      </c>
      <c r="G525" s="43"/>
      <c r="H525" s="44" t="s">
        <v>416</v>
      </c>
      <c r="I525" s="43" t="s">
        <v>132</v>
      </c>
      <c r="J525" s="120">
        <v>100</v>
      </c>
      <c r="K525" s="120">
        <v>100</v>
      </c>
      <c r="L525" s="120">
        <v>100</v>
      </c>
      <c r="M525" s="217">
        <v>100</v>
      </c>
      <c r="N525" s="217">
        <v>100</v>
      </c>
      <c r="O525" s="217">
        <v>100</v>
      </c>
      <c r="P525" s="245">
        <v>100</v>
      </c>
      <c r="Q525" s="245">
        <v>100</v>
      </c>
      <c r="R525" s="245">
        <v>100</v>
      </c>
      <c r="S525" s="245">
        <v>100</v>
      </c>
      <c r="T525" s="245">
        <v>100</v>
      </c>
      <c r="U525" s="245">
        <v>100</v>
      </c>
      <c r="V525" s="245">
        <v>100</v>
      </c>
      <c r="W525" s="245">
        <v>100</v>
      </c>
      <c r="X525" s="43">
        <v>2024</v>
      </c>
      <c r="Y525" s="140">
        <f t="shared" si="209"/>
        <v>0</v>
      </c>
      <c r="Z525" s="141">
        <f t="shared" si="210"/>
        <v>0</v>
      </c>
      <c r="AA525" s="140">
        <f t="shared" si="211"/>
        <v>0</v>
      </c>
      <c r="AB525" s="140">
        <f t="shared" si="212"/>
        <v>0</v>
      </c>
    </row>
    <row r="526" spans="1:28" ht="89.25">
      <c r="A526" s="21" t="s">
        <v>19</v>
      </c>
      <c r="B526" s="22">
        <v>1</v>
      </c>
      <c r="C526" s="22">
        <v>5</v>
      </c>
      <c r="D526" s="22">
        <v>3</v>
      </c>
      <c r="E526" s="22">
        <v>0</v>
      </c>
      <c r="F526" s="22">
        <v>0</v>
      </c>
      <c r="G526" s="43"/>
      <c r="H526" s="44" t="s">
        <v>417</v>
      </c>
      <c r="I526" s="43" t="s">
        <v>132</v>
      </c>
      <c r="J526" s="120">
        <v>100</v>
      </c>
      <c r="K526" s="120">
        <v>100</v>
      </c>
      <c r="L526" s="120">
        <v>100</v>
      </c>
      <c r="M526" s="217">
        <v>100</v>
      </c>
      <c r="N526" s="217">
        <v>100</v>
      </c>
      <c r="O526" s="217">
        <v>100</v>
      </c>
      <c r="P526" s="245">
        <v>100</v>
      </c>
      <c r="Q526" s="245">
        <v>100</v>
      </c>
      <c r="R526" s="245">
        <v>100</v>
      </c>
      <c r="S526" s="245">
        <v>100</v>
      </c>
      <c r="T526" s="245">
        <v>100</v>
      </c>
      <c r="U526" s="245">
        <v>100</v>
      </c>
      <c r="V526" s="245">
        <v>100</v>
      </c>
      <c r="W526" s="245">
        <v>100</v>
      </c>
      <c r="X526" s="43">
        <v>2024</v>
      </c>
      <c r="Y526" s="140">
        <f t="shared" si="209"/>
        <v>0</v>
      </c>
      <c r="Z526" s="141">
        <f t="shared" si="210"/>
        <v>0</v>
      </c>
      <c r="AA526" s="140">
        <f t="shared" si="211"/>
        <v>0</v>
      </c>
      <c r="AB526" s="140">
        <f t="shared" si="212"/>
        <v>0</v>
      </c>
    </row>
    <row r="527" spans="1:28" ht="89.25">
      <c r="A527" s="21" t="s">
        <v>19</v>
      </c>
      <c r="B527" s="22">
        <v>1</v>
      </c>
      <c r="C527" s="22">
        <v>5</v>
      </c>
      <c r="D527" s="22">
        <v>3</v>
      </c>
      <c r="E527" s="22">
        <v>0</v>
      </c>
      <c r="F527" s="22">
        <v>0</v>
      </c>
      <c r="G527" s="43"/>
      <c r="H527" s="44" t="s">
        <v>418</v>
      </c>
      <c r="I527" s="43" t="s">
        <v>132</v>
      </c>
      <c r="J527" s="120">
        <v>90</v>
      </c>
      <c r="K527" s="120">
        <v>100</v>
      </c>
      <c r="L527" s="120">
        <v>95.9</v>
      </c>
      <c r="M527" s="217">
        <v>96</v>
      </c>
      <c r="N527" s="217">
        <v>100</v>
      </c>
      <c r="O527" s="217">
        <v>100</v>
      </c>
      <c r="P527" s="245">
        <v>100</v>
      </c>
      <c r="Q527" s="245">
        <v>100</v>
      </c>
      <c r="R527" s="245">
        <v>100</v>
      </c>
      <c r="S527" s="245">
        <v>100</v>
      </c>
      <c r="T527" s="245">
        <v>100</v>
      </c>
      <c r="U527" s="245">
        <v>100</v>
      </c>
      <c r="V527" s="245">
        <v>100</v>
      </c>
      <c r="W527" s="245">
        <v>100</v>
      </c>
      <c r="X527" s="43">
        <v>2024</v>
      </c>
      <c r="Y527" s="140">
        <f t="shared" si="209"/>
        <v>0</v>
      </c>
      <c r="Z527" s="141">
        <f t="shared" si="210"/>
        <v>0</v>
      </c>
      <c r="AA527" s="140">
        <f t="shared" si="211"/>
        <v>0</v>
      </c>
      <c r="AB527" s="140">
        <f t="shared" si="212"/>
        <v>0</v>
      </c>
    </row>
    <row r="528" spans="1:28" ht="76.5">
      <c r="A528" s="21" t="s">
        <v>19</v>
      </c>
      <c r="B528" s="22">
        <v>1</v>
      </c>
      <c r="C528" s="22">
        <v>5</v>
      </c>
      <c r="D528" s="22">
        <v>3</v>
      </c>
      <c r="E528" s="22">
        <v>0</v>
      </c>
      <c r="F528" s="22">
        <v>0</v>
      </c>
      <c r="G528" s="43"/>
      <c r="H528" s="44" t="s">
        <v>419</v>
      </c>
      <c r="I528" s="43" t="s">
        <v>132</v>
      </c>
      <c r="J528" s="120">
        <v>100</v>
      </c>
      <c r="K528" s="120">
        <v>100</v>
      </c>
      <c r="L528" s="120">
        <v>100</v>
      </c>
      <c r="M528" s="217">
        <v>100</v>
      </c>
      <c r="N528" s="217">
        <v>100</v>
      </c>
      <c r="O528" s="217">
        <v>100</v>
      </c>
      <c r="P528" s="245">
        <v>100</v>
      </c>
      <c r="Q528" s="245">
        <v>100</v>
      </c>
      <c r="R528" s="245">
        <v>100</v>
      </c>
      <c r="S528" s="245">
        <v>100</v>
      </c>
      <c r="T528" s="245">
        <v>100</v>
      </c>
      <c r="U528" s="245">
        <v>100</v>
      </c>
      <c r="V528" s="245">
        <v>100</v>
      </c>
      <c r="W528" s="245">
        <v>100</v>
      </c>
      <c r="X528" s="43">
        <v>2024</v>
      </c>
      <c r="Y528" s="140">
        <f t="shared" si="209"/>
        <v>0</v>
      </c>
      <c r="Z528" s="141">
        <f t="shared" si="210"/>
        <v>0</v>
      </c>
      <c r="AA528" s="140">
        <f t="shared" si="211"/>
        <v>0</v>
      </c>
      <c r="AB528" s="140">
        <f t="shared" si="212"/>
        <v>0</v>
      </c>
    </row>
    <row r="529" spans="1:28" ht="38.25">
      <c r="A529" s="36" t="s">
        <v>19</v>
      </c>
      <c r="B529" s="37">
        <v>1</v>
      </c>
      <c r="C529" s="37">
        <v>5</v>
      </c>
      <c r="D529" s="37">
        <v>3</v>
      </c>
      <c r="E529" s="37">
        <v>0</v>
      </c>
      <c r="F529" s="37">
        <v>1</v>
      </c>
      <c r="G529" s="38"/>
      <c r="H529" s="39" t="s">
        <v>420</v>
      </c>
      <c r="I529" s="38" t="s">
        <v>43</v>
      </c>
      <c r="J529" s="87" t="s">
        <v>44</v>
      </c>
      <c r="K529" s="87" t="s">
        <v>44</v>
      </c>
      <c r="L529" s="87" t="s">
        <v>44</v>
      </c>
      <c r="M529" s="125" t="s">
        <v>44</v>
      </c>
      <c r="N529" s="87" t="s">
        <v>44</v>
      </c>
      <c r="O529" s="87" t="s">
        <v>44</v>
      </c>
      <c r="P529" s="246" t="s">
        <v>44</v>
      </c>
      <c r="Q529" s="246" t="s">
        <v>44</v>
      </c>
      <c r="R529" s="246" t="s">
        <v>44</v>
      </c>
      <c r="S529" s="246" t="s">
        <v>44</v>
      </c>
      <c r="T529" s="246" t="s">
        <v>44</v>
      </c>
      <c r="U529" s="246" t="s">
        <v>44</v>
      </c>
      <c r="V529" s="246" t="s">
        <v>44</v>
      </c>
      <c r="W529" s="87" t="s">
        <v>44</v>
      </c>
      <c r="X529" s="38">
        <v>2024</v>
      </c>
      <c r="Y529" s="140"/>
      <c r="Z529" s="141"/>
      <c r="AA529" s="140"/>
      <c r="AB529" s="140"/>
    </row>
    <row r="530" spans="1:28" ht="51">
      <c r="A530" s="21" t="s">
        <v>19</v>
      </c>
      <c r="B530" s="22">
        <v>1</v>
      </c>
      <c r="C530" s="22">
        <v>5</v>
      </c>
      <c r="D530" s="22">
        <v>3</v>
      </c>
      <c r="E530" s="22">
        <v>0</v>
      </c>
      <c r="F530" s="22">
        <v>1</v>
      </c>
      <c r="G530" s="43"/>
      <c r="H530" s="44" t="s">
        <v>421</v>
      </c>
      <c r="I530" s="43" t="s">
        <v>48</v>
      </c>
      <c r="J530" s="131">
        <v>25</v>
      </c>
      <c r="K530" s="131">
        <v>26</v>
      </c>
      <c r="L530" s="131">
        <v>27</v>
      </c>
      <c r="M530" s="95">
        <v>28</v>
      </c>
      <c r="N530" s="95">
        <v>28</v>
      </c>
      <c r="O530" s="95">
        <v>28</v>
      </c>
      <c r="P530" s="247">
        <v>28</v>
      </c>
      <c r="Q530" s="247">
        <v>28</v>
      </c>
      <c r="R530" s="247">
        <v>28</v>
      </c>
      <c r="S530" s="247">
        <v>29</v>
      </c>
      <c r="T530" s="247">
        <v>29</v>
      </c>
      <c r="U530" s="247">
        <v>30</v>
      </c>
      <c r="V530" s="247">
        <v>30</v>
      </c>
      <c r="W530" s="131">
        <f>J530+K530+L530+M530+N530+P530+R530+T530+V530</f>
        <v>249</v>
      </c>
      <c r="X530" s="43">
        <v>2024</v>
      </c>
      <c r="Y530" s="140">
        <f aca="true" t="shared" si="217" ref="Y530:Y537">P530-O530</f>
        <v>0</v>
      </c>
      <c r="Z530" s="141">
        <f aca="true" t="shared" si="218" ref="Z530:Z537">R530-Q530</f>
        <v>0</v>
      </c>
      <c r="AA530" s="140">
        <f aca="true" t="shared" si="219" ref="AA530:AA537">T530-S530</f>
        <v>0</v>
      </c>
      <c r="AB530" s="140">
        <f aca="true" t="shared" si="220" ref="AB530:AB537">V530-U530</f>
        <v>0</v>
      </c>
    </row>
    <row r="531" spans="1:28" s="2" customFormat="1" ht="63" customHeight="1">
      <c r="A531" s="36" t="s">
        <v>19</v>
      </c>
      <c r="B531" s="37">
        <v>1</v>
      </c>
      <c r="C531" s="37">
        <v>5</v>
      </c>
      <c r="D531" s="37">
        <v>3</v>
      </c>
      <c r="E531" s="37">
        <v>0</v>
      </c>
      <c r="F531" s="37">
        <v>2</v>
      </c>
      <c r="G531" s="37"/>
      <c r="H531" s="146" t="s">
        <v>422</v>
      </c>
      <c r="I531" s="37" t="s">
        <v>21</v>
      </c>
      <c r="J531" s="88">
        <f>J533+J532</f>
        <v>943.2</v>
      </c>
      <c r="K531" s="88">
        <f aca="true" t="shared" si="221" ref="K531:V531">K533+K532</f>
        <v>959</v>
      </c>
      <c r="L531" s="88">
        <f t="shared" si="221"/>
        <v>1166.6</v>
      </c>
      <c r="M531" s="88">
        <f t="shared" si="221"/>
        <v>1115.3</v>
      </c>
      <c r="N531" s="88">
        <v>1865.1</v>
      </c>
      <c r="O531" s="88">
        <v>3199.1</v>
      </c>
      <c r="P531" s="88">
        <f t="shared" si="221"/>
        <v>3199.1</v>
      </c>
      <c r="Q531" s="88">
        <v>1189.5</v>
      </c>
      <c r="R531" s="88">
        <f t="shared" si="221"/>
        <v>1189.5</v>
      </c>
      <c r="S531" s="88">
        <v>1237.2</v>
      </c>
      <c r="T531" s="88">
        <f t="shared" si="221"/>
        <v>1237.2</v>
      </c>
      <c r="U531" s="88">
        <v>923.3</v>
      </c>
      <c r="V531" s="88">
        <f t="shared" si="221"/>
        <v>923.3</v>
      </c>
      <c r="W531" s="88">
        <f>J531+K531+L531+M531+N531+P531+R531+T531+V531</f>
        <v>12598.3</v>
      </c>
      <c r="X531" s="37">
        <v>2024</v>
      </c>
      <c r="Y531" s="140">
        <f t="shared" si="217"/>
        <v>0</v>
      </c>
      <c r="Z531" s="141">
        <f t="shared" si="218"/>
        <v>0</v>
      </c>
      <c r="AA531" s="140">
        <f t="shared" si="219"/>
        <v>0</v>
      </c>
      <c r="AB531" s="140">
        <f t="shared" si="220"/>
        <v>0</v>
      </c>
    </row>
    <row r="532" spans="1:28" s="2" customFormat="1" ht="12.75">
      <c r="A532" s="21" t="s">
        <v>19</v>
      </c>
      <c r="B532" s="22">
        <v>1</v>
      </c>
      <c r="C532" s="22">
        <v>5</v>
      </c>
      <c r="D532" s="22">
        <v>3</v>
      </c>
      <c r="E532" s="22">
        <v>0</v>
      </c>
      <c r="F532" s="22">
        <v>2</v>
      </c>
      <c r="G532" s="22">
        <v>3</v>
      </c>
      <c r="H532" s="26" t="s">
        <v>22</v>
      </c>
      <c r="I532" s="22" t="s">
        <v>21</v>
      </c>
      <c r="J532" s="138">
        <v>0</v>
      </c>
      <c r="K532" s="138">
        <v>0</v>
      </c>
      <c r="L532" s="138">
        <v>0</v>
      </c>
      <c r="M532" s="91">
        <v>0</v>
      </c>
      <c r="N532" s="91">
        <v>600</v>
      </c>
      <c r="O532" s="91">
        <v>2280</v>
      </c>
      <c r="P532" s="91">
        <v>2280</v>
      </c>
      <c r="Q532" s="91">
        <v>0</v>
      </c>
      <c r="R532" s="91">
        <v>0</v>
      </c>
      <c r="S532" s="91">
        <v>0</v>
      </c>
      <c r="T532" s="91">
        <v>0</v>
      </c>
      <c r="U532" s="91">
        <v>0</v>
      </c>
      <c r="V532" s="91">
        <v>0</v>
      </c>
      <c r="W532" s="138">
        <f>J532+K532+L532+M532+N532+P532+R532+T532+V532</f>
        <v>2880</v>
      </c>
      <c r="X532" s="22">
        <v>2024</v>
      </c>
      <c r="Y532" s="140">
        <f t="shared" si="217"/>
        <v>0</v>
      </c>
      <c r="Z532" s="141">
        <f t="shared" si="218"/>
        <v>0</v>
      </c>
      <c r="AA532" s="140">
        <f t="shared" si="219"/>
        <v>0</v>
      </c>
      <c r="AB532" s="140">
        <f t="shared" si="220"/>
        <v>0</v>
      </c>
    </row>
    <row r="533" spans="1:28" s="2" customFormat="1" ht="12.75">
      <c r="A533" s="21" t="s">
        <v>19</v>
      </c>
      <c r="B533" s="22">
        <v>1</v>
      </c>
      <c r="C533" s="22">
        <v>5</v>
      </c>
      <c r="D533" s="22">
        <v>3</v>
      </c>
      <c r="E533" s="22">
        <v>0</v>
      </c>
      <c r="F533" s="22">
        <v>2</v>
      </c>
      <c r="G533" s="22">
        <v>2</v>
      </c>
      <c r="H533" s="26" t="s">
        <v>23</v>
      </c>
      <c r="I533" s="22" t="s">
        <v>21</v>
      </c>
      <c r="J533" s="138">
        <f>J534+J535</f>
        <v>943.2</v>
      </c>
      <c r="K533" s="138">
        <v>959</v>
      </c>
      <c r="L533" s="138">
        <v>1166.6</v>
      </c>
      <c r="M533" s="91">
        <v>1115.3</v>
      </c>
      <c r="N533" s="91">
        <v>1265.1</v>
      </c>
      <c r="O533" s="91">
        <v>919.1</v>
      </c>
      <c r="P533" s="91">
        <v>919.1</v>
      </c>
      <c r="Q533" s="91">
        <v>1189.5</v>
      </c>
      <c r="R533" s="91">
        <v>1189.5</v>
      </c>
      <c r="S533" s="91">
        <v>1237.2</v>
      </c>
      <c r="T533" s="91">
        <v>1237.2</v>
      </c>
      <c r="U533" s="91">
        <v>923.3</v>
      </c>
      <c r="V533" s="91">
        <v>923.3</v>
      </c>
      <c r="W533" s="138">
        <f>J533+K533+L533+M533+N533+P533+R533+T533+V533</f>
        <v>9718.3</v>
      </c>
      <c r="X533" s="22">
        <v>2024</v>
      </c>
      <c r="Y533" s="140">
        <f t="shared" si="217"/>
        <v>0</v>
      </c>
      <c r="Z533" s="141">
        <f t="shared" si="218"/>
        <v>0</v>
      </c>
      <c r="AA533" s="140">
        <f t="shared" si="219"/>
        <v>0</v>
      </c>
      <c r="AB533" s="140">
        <f t="shared" si="220"/>
        <v>0</v>
      </c>
    </row>
    <row r="534" spans="1:28" ht="102">
      <c r="A534" s="21" t="s">
        <v>19</v>
      </c>
      <c r="B534" s="22">
        <v>1</v>
      </c>
      <c r="C534" s="22">
        <v>5</v>
      </c>
      <c r="D534" s="22">
        <v>3</v>
      </c>
      <c r="E534" s="22">
        <v>0</v>
      </c>
      <c r="F534" s="22">
        <v>2</v>
      </c>
      <c r="G534" s="363"/>
      <c r="H534" s="46" t="s">
        <v>423</v>
      </c>
      <c r="I534" s="43" t="s">
        <v>21</v>
      </c>
      <c r="J534" s="129">
        <f>356+170+250+101+65</f>
        <v>942</v>
      </c>
      <c r="K534" s="129">
        <v>0</v>
      </c>
      <c r="L534" s="129">
        <v>0</v>
      </c>
      <c r="M534" s="77">
        <v>0</v>
      </c>
      <c r="N534" s="77">
        <v>0</v>
      </c>
      <c r="O534" s="77">
        <v>0</v>
      </c>
      <c r="P534" s="77">
        <v>0</v>
      </c>
      <c r="Q534" s="77">
        <v>0</v>
      </c>
      <c r="R534" s="77">
        <v>0</v>
      </c>
      <c r="S534" s="77">
        <v>0</v>
      </c>
      <c r="T534" s="77">
        <v>0</v>
      </c>
      <c r="U534" s="77">
        <v>0</v>
      </c>
      <c r="V534" s="77">
        <v>0</v>
      </c>
      <c r="W534" s="129">
        <v>942</v>
      </c>
      <c r="X534" s="43">
        <v>2016</v>
      </c>
      <c r="Y534" s="140">
        <f t="shared" si="217"/>
        <v>0</v>
      </c>
      <c r="Z534" s="141">
        <f t="shared" si="218"/>
        <v>0</v>
      </c>
      <c r="AA534" s="140">
        <f t="shared" si="219"/>
        <v>0</v>
      </c>
      <c r="AB534" s="140">
        <f t="shared" si="220"/>
        <v>0</v>
      </c>
    </row>
    <row r="535" spans="1:28" ht="102">
      <c r="A535" s="21" t="s">
        <v>19</v>
      </c>
      <c r="B535" s="22">
        <v>1</v>
      </c>
      <c r="C535" s="22">
        <v>5</v>
      </c>
      <c r="D535" s="22">
        <v>3</v>
      </c>
      <c r="E535" s="22">
        <v>0</v>
      </c>
      <c r="F535" s="22">
        <v>2</v>
      </c>
      <c r="G535" s="363"/>
      <c r="H535" s="46" t="s">
        <v>424</v>
      </c>
      <c r="I535" s="43" t="s">
        <v>21</v>
      </c>
      <c r="J535" s="129">
        <v>1.2</v>
      </c>
      <c r="K535" s="129">
        <v>0</v>
      </c>
      <c r="L535" s="129">
        <v>0</v>
      </c>
      <c r="M535" s="77">
        <v>0</v>
      </c>
      <c r="N535" s="77">
        <v>0</v>
      </c>
      <c r="O535" s="77">
        <v>0</v>
      </c>
      <c r="P535" s="77">
        <v>0</v>
      </c>
      <c r="Q535" s="77">
        <v>0</v>
      </c>
      <c r="R535" s="77">
        <v>0</v>
      </c>
      <c r="S535" s="77">
        <v>0</v>
      </c>
      <c r="T535" s="77">
        <v>0</v>
      </c>
      <c r="U535" s="77">
        <v>0</v>
      </c>
      <c r="V535" s="77">
        <v>0</v>
      </c>
      <c r="W535" s="129">
        <v>1.2</v>
      </c>
      <c r="X535" s="43">
        <v>2016</v>
      </c>
      <c r="Y535" s="140">
        <f t="shared" si="217"/>
        <v>0</v>
      </c>
      <c r="Z535" s="141">
        <f t="shared" si="218"/>
        <v>0</v>
      </c>
      <c r="AA535" s="140">
        <f t="shared" si="219"/>
        <v>0</v>
      </c>
      <c r="AB535" s="140">
        <f t="shared" si="220"/>
        <v>0</v>
      </c>
    </row>
    <row r="536" spans="1:28" ht="89.25">
      <c r="A536" s="21" t="s">
        <v>19</v>
      </c>
      <c r="B536" s="22">
        <v>1</v>
      </c>
      <c r="C536" s="22">
        <v>5</v>
      </c>
      <c r="D536" s="22">
        <v>3</v>
      </c>
      <c r="E536" s="22">
        <v>0</v>
      </c>
      <c r="F536" s="22">
        <v>2</v>
      </c>
      <c r="G536" s="363"/>
      <c r="H536" s="46" t="s">
        <v>425</v>
      </c>
      <c r="I536" s="43" t="s">
        <v>48</v>
      </c>
      <c r="J536" s="258">
        <v>0</v>
      </c>
      <c r="K536" s="258">
        <v>30</v>
      </c>
      <c r="L536" s="258">
        <v>32</v>
      </c>
      <c r="M536" s="100">
        <v>32</v>
      </c>
      <c r="N536" s="100">
        <v>31</v>
      </c>
      <c r="O536" s="100">
        <v>32</v>
      </c>
      <c r="P536" s="172">
        <v>32</v>
      </c>
      <c r="Q536" s="100">
        <v>32</v>
      </c>
      <c r="R536" s="172">
        <v>32</v>
      </c>
      <c r="S536" s="100">
        <v>32</v>
      </c>
      <c r="T536" s="172">
        <v>32</v>
      </c>
      <c r="U536" s="100">
        <v>32</v>
      </c>
      <c r="V536" s="172">
        <v>32</v>
      </c>
      <c r="W536" s="258">
        <v>32</v>
      </c>
      <c r="X536" s="258">
        <v>2024</v>
      </c>
      <c r="Y536" s="140">
        <f t="shared" si="217"/>
        <v>0</v>
      </c>
      <c r="Z536" s="141">
        <f t="shared" si="218"/>
        <v>0</v>
      </c>
      <c r="AA536" s="140">
        <f t="shared" si="219"/>
        <v>0</v>
      </c>
      <c r="AB536" s="140">
        <f t="shared" si="220"/>
        <v>0</v>
      </c>
    </row>
    <row r="537" spans="1:28" ht="51.75" customHeight="1">
      <c r="A537" s="205" t="s">
        <v>19</v>
      </c>
      <c r="B537" s="206">
        <v>1</v>
      </c>
      <c r="C537" s="206">
        <v>5</v>
      </c>
      <c r="D537" s="206">
        <v>3</v>
      </c>
      <c r="E537" s="206">
        <v>0</v>
      </c>
      <c r="F537" s="206">
        <v>2</v>
      </c>
      <c r="G537" s="207"/>
      <c r="H537" s="240" t="s">
        <v>426</v>
      </c>
      <c r="I537" s="207" t="s">
        <v>48</v>
      </c>
      <c r="J537" s="187">
        <v>0</v>
      </c>
      <c r="K537" s="187">
        <v>0</v>
      </c>
      <c r="L537" s="187">
        <v>0</v>
      </c>
      <c r="M537" s="187">
        <v>0</v>
      </c>
      <c r="N537" s="187">
        <v>19</v>
      </c>
      <c r="O537" s="187">
        <v>32</v>
      </c>
      <c r="P537" s="364">
        <v>32</v>
      </c>
      <c r="Q537" s="187">
        <v>32</v>
      </c>
      <c r="R537" s="364">
        <v>32</v>
      </c>
      <c r="S537" s="187">
        <v>32</v>
      </c>
      <c r="T537" s="364">
        <v>32</v>
      </c>
      <c r="U537" s="187">
        <v>32</v>
      </c>
      <c r="V537" s="364">
        <v>32</v>
      </c>
      <c r="W537" s="187">
        <v>32</v>
      </c>
      <c r="X537" s="187">
        <v>2024</v>
      </c>
      <c r="Y537" s="140">
        <f t="shared" si="217"/>
        <v>0</v>
      </c>
      <c r="Z537" s="141">
        <f t="shared" si="218"/>
        <v>0</v>
      </c>
      <c r="AA537" s="140">
        <f t="shared" si="219"/>
        <v>0</v>
      </c>
      <c r="AB537" s="140">
        <f t="shared" si="220"/>
        <v>0</v>
      </c>
    </row>
    <row r="538" spans="1:28" ht="51.75" customHeight="1">
      <c r="A538" s="36" t="s">
        <v>19</v>
      </c>
      <c r="B538" s="37">
        <v>1</v>
      </c>
      <c r="C538" s="37">
        <v>5</v>
      </c>
      <c r="D538" s="37">
        <v>3</v>
      </c>
      <c r="E538" s="37">
        <v>0</v>
      </c>
      <c r="F538" s="37">
        <v>3</v>
      </c>
      <c r="G538" s="37">
        <v>3</v>
      </c>
      <c r="H538" s="40" t="s">
        <v>427</v>
      </c>
      <c r="I538" s="37" t="s">
        <v>21</v>
      </c>
      <c r="J538" s="88">
        <f aca="true" t="shared" si="222" ref="J538:V538">J539</f>
        <v>35052.5</v>
      </c>
      <c r="K538" s="88">
        <f t="shared" si="222"/>
        <v>33138.7</v>
      </c>
      <c r="L538" s="88">
        <f t="shared" si="222"/>
        <v>39846.7</v>
      </c>
      <c r="M538" s="89">
        <f t="shared" si="222"/>
        <v>42075.3</v>
      </c>
      <c r="N538" s="88">
        <v>22864.4</v>
      </c>
      <c r="O538" s="88">
        <v>19999.9</v>
      </c>
      <c r="P538" s="109">
        <f t="shared" si="222"/>
        <v>34999.9</v>
      </c>
      <c r="Q538" s="88">
        <v>10000</v>
      </c>
      <c r="R538" s="88">
        <f t="shared" si="222"/>
        <v>10000</v>
      </c>
      <c r="S538" s="88">
        <v>10000</v>
      </c>
      <c r="T538" s="88">
        <f t="shared" si="222"/>
        <v>10000</v>
      </c>
      <c r="U538" s="88">
        <v>10000</v>
      </c>
      <c r="V538" s="88">
        <f t="shared" si="222"/>
        <v>10000</v>
      </c>
      <c r="W538" s="109">
        <f aca="true" t="shared" si="223" ref="W538:W554">J538+K538+L538+M538+N538+P538+R538+T538+V538</f>
        <v>237977.5</v>
      </c>
      <c r="X538" s="37">
        <v>2024</v>
      </c>
      <c r="Y538" s="140"/>
      <c r="Z538" s="141"/>
      <c r="AA538" s="140"/>
      <c r="AB538" s="140"/>
    </row>
    <row r="539" spans="1:28" s="2" customFormat="1" ht="12.75">
      <c r="A539" s="21" t="s">
        <v>19</v>
      </c>
      <c r="B539" s="22">
        <v>1</v>
      </c>
      <c r="C539" s="22">
        <v>5</v>
      </c>
      <c r="D539" s="22">
        <v>3</v>
      </c>
      <c r="E539" s="22">
        <v>0</v>
      </c>
      <c r="F539" s="22">
        <v>3</v>
      </c>
      <c r="G539" s="22">
        <v>3</v>
      </c>
      <c r="H539" s="26" t="s">
        <v>22</v>
      </c>
      <c r="I539" s="22" t="s">
        <v>21</v>
      </c>
      <c r="J539" s="138">
        <f>J540+J541</f>
        <v>35052.5</v>
      </c>
      <c r="K539" s="138">
        <v>33138.7</v>
      </c>
      <c r="L539" s="138">
        <v>39846.7</v>
      </c>
      <c r="M539" s="91">
        <v>42075.3</v>
      </c>
      <c r="N539" s="91">
        <v>22864.4</v>
      </c>
      <c r="O539" s="91">
        <v>19999.9</v>
      </c>
      <c r="P539" s="92">
        <v>34999.9</v>
      </c>
      <c r="Q539" s="91">
        <v>10000</v>
      </c>
      <c r="R539" s="91">
        <v>10000</v>
      </c>
      <c r="S539" s="91">
        <v>10000</v>
      </c>
      <c r="T539" s="91">
        <v>10000</v>
      </c>
      <c r="U539" s="91">
        <v>10000</v>
      </c>
      <c r="V539" s="91">
        <v>10000</v>
      </c>
      <c r="W539" s="229">
        <f t="shared" si="223"/>
        <v>237977.5</v>
      </c>
      <c r="X539" s="22">
        <v>2024</v>
      </c>
      <c r="Y539" s="140">
        <f aca="true" t="shared" si="224" ref="Y539:Y557">P538-O538</f>
        <v>15000</v>
      </c>
      <c r="Z539" s="141">
        <f aca="true" t="shared" si="225" ref="Z539:Z557">R538-Q538</f>
        <v>0</v>
      </c>
      <c r="AA539" s="140">
        <f aca="true" t="shared" si="226" ref="AA539:AA557">T538-S538</f>
        <v>0</v>
      </c>
      <c r="AB539" s="140">
        <f aca="true" t="shared" si="227" ref="AB539:AB557">V538-U538</f>
        <v>0</v>
      </c>
    </row>
    <row r="540" spans="1:28" s="2" customFormat="1" ht="102">
      <c r="A540" s="21" t="s">
        <v>19</v>
      </c>
      <c r="B540" s="22">
        <v>1</v>
      </c>
      <c r="C540" s="22">
        <v>5</v>
      </c>
      <c r="D540" s="22">
        <v>3</v>
      </c>
      <c r="E540" s="22">
        <v>0</v>
      </c>
      <c r="F540" s="22">
        <v>3</v>
      </c>
      <c r="G540" s="43"/>
      <c r="H540" s="44" t="s">
        <v>428</v>
      </c>
      <c r="I540" s="43" t="s">
        <v>429</v>
      </c>
      <c r="J540" s="120">
        <f>1417.6+6277+5723.4+6004.6</f>
        <v>19422.6</v>
      </c>
      <c r="K540" s="120">
        <v>0</v>
      </c>
      <c r="L540" s="120">
        <v>0</v>
      </c>
      <c r="M540" s="72">
        <v>0</v>
      </c>
      <c r="N540" s="72">
        <v>0</v>
      </c>
      <c r="O540" s="72">
        <v>0</v>
      </c>
      <c r="P540" s="72">
        <v>0</v>
      </c>
      <c r="Q540" s="72">
        <v>0</v>
      </c>
      <c r="R540" s="72">
        <v>0</v>
      </c>
      <c r="S540" s="72">
        <v>0</v>
      </c>
      <c r="T540" s="72">
        <v>0</v>
      </c>
      <c r="U540" s="72">
        <v>0</v>
      </c>
      <c r="V540" s="72">
        <v>0</v>
      </c>
      <c r="W540" s="120">
        <f t="shared" si="223"/>
        <v>19422.6</v>
      </c>
      <c r="X540" s="43">
        <v>2016</v>
      </c>
      <c r="Y540" s="140">
        <f t="shared" si="224"/>
        <v>15000</v>
      </c>
      <c r="Z540" s="141">
        <f t="shared" si="225"/>
        <v>0</v>
      </c>
      <c r="AA540" s="140">
        <f t="shared" si="226"/>
        <v>0</v>
      </c>
      <c r="AB540" s="140">
        <f t="shared" si="227"/>
        <v>0</v>
      </c>
    </row>
    <row r="541" spans="1:28" ht="114.75">
      <c r="A541" s="21" t="s">
        <v>19</v>
      </c>
      <c r="B541" s="22">
        <v>1</v>
      </c>
      <c r="C541" s="22">
        <v>5</v>
      </c>
      <c r="D541" s="22">
        <v>3</v>
      </c>
      <c r="E541" s="22">
        <v>0</v>
      </c>
      <c r="F541" s="22">
        <v>3</v>
      </c>
      <c r="G541" s="43"/>
      <c r="H541" s="44" t="s">
        <v>430</v>
      </c>
      <c r="I541" s="43" t="s">
        <v>429</v>
      </c>
      <c r="J541" s="120">
        <f>1199.2+5979.6+4276.7+4174.4</f>
        <v>15629.9</v>
      </c>
      <c r="K541" s="120">
        <v>0</v>
      </c>
      <c r="L541" s="120">
        <v>0</v>
      </c>
      <c r="M541" s="72">
        <v>0</v>
      </c>
      <c r="N541" s="72">
        <v>0</v>
      </c>
      <c r="O541" s="72">
        <v>0</v>
      </c>
      <c r="P541" s="72">
        <v>0</v>
      </c>
      <c r="Q541" s="72">
        <v>0</v>
      </c>
      <c r="R541" s="72">
        <v>0</v>
      </c>
      <c r="S541" s="72">
        <v>0</v>
      </c>
      <c r="T541" s="72">
        <v>0</v>
      </c>
      <c r="U541" s="72">
        <v>0</v>
      </c>
      <c r="V541" s="72">
        <v>0</v>
      </c>
      <c r="W541" s="120">
        <f t="shared" si="223"/>
        <v>15629.9</v>
      </c>
      <c r="X541" s="43">
        <v>2016</v>
      </c>
      <c r="Y541" s="140">
        <f t="shared" si="224"/>
        <v>0</v>
      </c>
      <c r="Z541" s="141">
        <f t="shared" si="225"/>
        <v>0</v>
      </c>
      <c r="AA541" s="140">
        <f t="shared" si="226"/>
        <v>0</v>
      </c>
      <c r="AB541" s="140">
        <f t="shared" si="227"/>
        <v>0</v>
      </c>
    </row>
    <row r="542" spans="1:28" ht="76.5">
      <c r="A542" s="21" t="s">
        <v>19</v>
      </c>
      <c r="B542" s="22">
        <v>1</v>
      </c>
      <c r="C542" s="22">
        <v>5</v>
      </c>
      <c r="D542" s="22">
        <v>3</v>
      </c>
      <c r="E542" s="22">
        <v>0</v>
      </c>
      <c r="F542" s="22">
        <v>3</v>
      </c>
      <c r="G542" s="43"/>
      <c r="H542" s="44" t="s">
        <v>431</v>
      </c>
      <c r="I542" s="43" t="s">
        <v>48</v>
      </c>
      <c r="J542" s="131">
        <v>0</v>
      </c>
      <c r="K542" s="131">
        <v>1506</v>
      </c>
      <c r="L542" s="131">
        <v>1570</v>
      </c>
      <c r="M542" s="95">
        <v>1560</v>
      </c>
      <c r="N542" s="95">
        <v>918</v>
      </c>
      <c r="O542" s="95">
        <v>1960</v>
      </c>
      <c r="P542" s="95">
        <v>1960</v>
      </c>
      <c r="Q542" s="95">
        <v>454</v>
      </c>
      <c r="R542" s="95">
        <v>454</v>
      </c>
      <c r="S542" s="95">
        <v>454</v>
      </c>
      <c r="T542" s="95">
        <v>454</v>
      </c>
      <c r="U542" s="95">
        <v>454</v>
      </c>
      <c r="V542" s="95">
        <v>454</v>
      </c>
      <c r="W542" s="131">
        <f t="shared" si="223"/>
        <v>8876</v>
      </c>
      <c r="X542" s="43">
        <v>2024</v>
      </c>
      <c r="Y542" s="140">
        <f t="shared" si="224"/>
        <v>0</v>
      </c>
      <c r="Z542" s="141">
        <f t="shared" si="225"/>
        <v>0</v>
      </c>
      <c r="AA542" s="140">
        <f t="shared" si="226"/>
        <v>0</v>
      </c>
      <c r="AB542" s="140">
        <f t="shared" si="227"/>
        <v>0</v>
      </c>
    </row>
    <row r="543" spans="1:28" ht="63.75">
      <c r="A543" s="21" t="s">
        <v>19</v>
      </c>
      <c r="B543" s="22">
        <v>1</v>
      </c>
      <c r="C543" s="22">
        <v>5</v>
      </c>
      <c r="D543" s="22">
        <v>3</v>
      </c>
      <c r="E543" s="22">
        <v>0</v>
      </c>
      <c r="F543" s="22">
        <v>3</v>
      </c>
      <c r="G543" s="43"/>
      <c r="H543" s="44" t="s">
        <v>432</v>
      </c>
      <c r="I543" s="43" t="s">
        <v>48</v>
      </c>
      <c r="J543" s="131">
        <v>0</v>
      </c>
      <c r="K543" s="131">
        <v>982</v>
      </c>
      <c r="L543" s="131">
        <v>990</v>
      </c>
      <c r="M543" s="95">
        <v>900</v>
      </c>
      <c r="N543" s="95">
        <v>511</v>
      </c>
      <c r="O543" s="95">
        <v>1346</v>
      </c>
      <c r="P543" s="95">
        <v>1346</v>
      </c>
      <c r="Q543" s="95">
        <v>296</v>
      </c>
      <c r="R543" s="95">
        <v>296</v>
      </c>
      <c r="S543" s="95">
        <v>296</v>
      </c>
      <c r="T543" s="95">
        <v>296</v>
      </c>
      <c r="U543" s="95">
        <v>296</v>
      </c>
      <c r="V543" s="95">
        <v>296</v>
      </c>
      <c r="W543" s="131">
        <f t="shared" si="223"/>
        <v>5617</v>
      </c>
      <c r="X543" s="43">
        <v>2024</v>
      </c>
      <c r="Y543" s="140">
        <f t="shared" si="224"/>
        <v>0</v>
      </c>
      <c r="Z543" s="141">
        <f t="shared" si="225"/>
        <v>0</v>
      </c>
      <c r="AA543" s="140">
        <f t="shared" si="226"/>
        <v>0</v>
      </c>
      <c r="AB543" s="140">
        <f t="shared" si="227"/>
        <v>0</v>
      </c>
    </row>
    <row r="544" spans="1:28" ht="63.75">
      <c r="A544" s="21" t="s">
        <v>19</v>
      </c>
      <c r="B544" s="22">
        <v>1</v>
      </c>
      <c r="C544" s="22">
        <v>5</v>
      </c>
      <c r="D544" s="22">
        <v>3</v>
      </c>
      <c r="E544" s="22">
        <v>0</v>
      </c>
      <c r="F544" s="22">
        <v>3</v>
      </c>
      <c r="G544" s="43"/>
      <c r="H544" s="44" t="s">
        <v>433</v>
      </c>
      <c r="I544" s="43" t="s">
        <v>48</v>
      </c>
      <c r="J544" s="131">
        <v>0</v>
      </c>
      <c r="K544" s="131">
        <v>176</v>
      </c>
      <c r="L544" s="131">
        <v>175</v>
      </c>
      <c r="M544" s="95">
        <v>156</v>
      </c>
      <c r="N544" s="95">
        <v>100</v>
      </c>
      <c r="O544" s="95">
        <v>250</v>
      </c>
      <c r="P544" s="95">
        <v>250</v>
      </c>
      <c r="Q544" s="95">
        <v>53</v>
      </c>
      <c r="R544" s="95">
        <v>53</v>
      </c>
      <c r="S544" s="95">
        <v>53</v>
      </c>
      <c r="T544" s="95">
        <v>53</v>
      </c>
      <c r="U544" s="95">
        <v>53</v>
      </c>
      <c r="V544" s="95">
        <v>53</v>
      </c>
      <c r="W544" s="131">
        <f t="shared" si="223"/>
        <v>1016</v>
      </c>
      <c r="X544" s="43">
        <v>2024</v>
      </c>
      <c r="Y544" s="140">
        <f t="shared" si="224"/>
        <v>0</v>
      </c>
      <c r="Z544" s="141">
        <f t="shared" si="225"/>
        <v>0</v>
      </c>
      <c r="AA544" s="140">
        <f t="shared" si="226"/>
        <v>0</v>
      </c>
      <c r="AB544" s="140">
        <f t="shared" si="227"/>
        <v>0</v>
      </c>
    </row>
    <row r="545" spans="1:28" ht="51">
      <c r="A545" s="36" t="s">
        <v>19</v>
      </c>
      <c r="B545" s="37">
        <v>1</v>
      </c>
      <c r="C545" s="37">
        <v>5</v>
      </c>
      <c r="D545" s="37">
        <v>3</v>
      </c>
      <c r="E545" s="37">
        <v>0</v>
      </c>
      <c r="F545" s="37">
        <v>4</v>
      </c>
      <c r="G545" s="37"/>
      <c r="H545" s="40" t="s">
        <v>434</v>
      </c>
      <c r="I545" s="37" t="s">
        <v>21</v>
      </c>
      <c r="J545" s="88">
        <f aca="true" t="shared" si="228" ref="J545:V545">J546</f>
        <v>227.7</v>
      </c>
      <c r="K545" s="88">
        <f t="shared" si="228"/>
        <v>240</v>
      </c>
      <c r="L545" s="88">
        <f t="shared" si="228"/>
        <v>308.5</v>
      </c>
      <c r="M545" s="89">
        <f t="shared" si="228"/>
        <v>406.8</v>
      </c>
      <c r="N545" s="88">
        <v>153.3</v>
      </c>
      <c r="O545" s="88">
        <v>360</v>
      </c>
      <c r="P545" s="349">
        <f t="shared" si="228"/>
        <v>360</v>
      </c>
      <c r="Q545" s="349">
        <v>360</v>
      </c>
      <c r="R545" s="349">
        <f t="shared" si="228"/>
        <v>360</v>
      </c>
      <c r="S545" s="195">
        <v>360</v>
      </c>
      <c r="T545" s="195">
        <f t="shared" si="228"/>
        <v>360</v>
      </c>
      <c r="U545" s="195">
        <v>240</v>
      </c>
      <c r="V545" s="195">
        <f t="shared" si="228"/>
        <v>240</v>
      </c>
      <c r="W545" s="88">
        <f t="shared" si="223"/>
        <v>2656.3</v>
      </c>
      <c r="X545" s="37">
        <v>2024</v>
      </c>
      <c r="Y545" s="140">
        <f t="shared" si="224"/>
        <v>0</v>
      </c>
      <c r="Z545" s="141">
        <f t="shared" si="225"/>
        <v>0</v>
      </c>
      <c r="AA545" s="140">
        <f t="shared" si="226"/>
        <v>0</v>
      </c>
      <c r="AB545" s="140">
        <f t="shared" si="227"/>
        <v>0</v>
      </c>
    </row>
    <row r="546" spans="1:28" s="2" customFormat="1" ht="12.75">
      <c r="A546" s="21" t="s">
        <v>19</v>
      </c>
      <c r="B546" s="22">
        <v>1</v>
      </c>
      <c r="C546" s="22">
        <v>5</v>
      </c>
      <c r="D546" s="22">
        <v>3</v>
      </c>
      <c r="E546" s="22">
        <v>0</v>
      </c>
      <c r="F546" s="22">
        <v>4</v>
      </c>
      <c r="G546" s="22">
        <v>3</v>
      </c>
      <c r="H546" s="26" t="s">
        <v>22</v>
      </c>
      <c r="I546" s="22" t="s">
        <v>21</v>
      </c>
      <c r="J546" s="138">
        <f>240+8-20.3</f>
        <v>227.7</v>
      </c>
      <c r="K546" s="138">
        <v>240</v>
      </c>
      <c r="L546" s="138">
        <f>308.4+0.07</f>
        <v>308.5</v>
      </c>
      <c r="M546" s="91">
        <v>406.8</v>
      </c>
      <c r="N546" s="91">
        <v>153.3</v>
      </c>
      <c r="O546" s="91">
        <v>360</v>
      </c>
      <c r="P546" s="243">
        <v>360</v>
      </c>
      <c r="Q546" s="243">
        <v>360</v>
      </c>
      <c r="R546" s="243">
        <v>360</v>
      </c>
      <c r="S546" s="243">
        <v>360</v>
      </c>
      <c r="T546" s="243">
        <v>360</v>
      </c>
      <c r="U546" s="243">
        <v>240</v>
      </c>
      <c r="V546" s="243">
        <v>240</v>
      </c>
      <c r="W546" s="138">
        <f t="shared" si="223"/>
        <v>2656.3</v>
      </c>
      <c r="X546" s="22">
        <v>2024</v>
      </c>
      <c r="Y546" s="140">
        <f t="shared" si="224"/>
        <v>0</v>
      </c>
      <c r="Z546" s="141">
        <f t="shared" si="225"/>
        <v>0</v>
      </c>
      <c r="AA546" s="140">
        <f t="shared" si="226"/>
        <v>0</v>
      </c>
      <c r="AB546" s="140">
        <f t="shared" si="227"/>
        <v>0</v>
      </c>
    </row>
    <row r="547" spans="1:28" s="2" customFormat="1" ht="38.25">
      <c r="A547" s="21" t="s">
        <v>19</v>
      </c>
      <c r="B547" s="22">
        <v>1</v>
      </c>
      <c r="C547" s="22">
        <v>5</v>
      </c>
      <c r="D547" s="22">
        <v>3</v>
      </c>
      <c r="E547" s="22">
        <v>0</v>
      </c>
      <c r="F547" s="22">
        <v>4</v>
      </c>
      <c r="G547" s="22">
        <v>3</v>
      </c>
      <c r="H547" s="44" t="s">
        <v>435</v>
      </c>
      <c r="I547" s="43" t="s">
        <v>57</v>
      </c>
      <c r="J547" s="131">
        <v>38</v>
      </c>
      <c r="K547" s="131">
        <v>42</v>
      </c>
      <c r="L547" s="131">
        <v>26</v>
      </c>
      <c r="M547" s="95">
        <v>29</v>
      </c>
      <c r="N547" s="95">
        <v>0</v>
      </c>
      <c r="O547" s="95">
        <v>44</v>
      </c>
      <c r="P547" s="247">
        <v>44</v>
      </c>
      <c r="Q547" s="247">
        <v>44</v>
      </c>
      <c r="R547" s="247">
        <v>44</v>
      </c>
      <c r="S547" s="247">
        <v>44</v>
      </c>
      <c r="T547" s="247">
        <v>44</v>
      </c>
      <c r="U547" s="247">
        <v>44</v>
      </c>
      <c r="V547" s="247">
        <v>44</v>
      </c>
      <c r="W547" s="131">
        <f t="shared" si="223"/>
        <v>311</v>
      </c>
      <c r="X547" s="43">
        <v>2024</v>
      </c>
      <c r="Y547" s="140">
        <f t="shared" si="224"/>
        <v>0</v>
      </c>
      <c r="Z547" s="141">
        <f t="shared" si="225"/>
        <v>0</v>
      </c>
      <c r="AA547" s="140">
        <f t="shared" si="226"/>
        <v>0</v>
      </c>
      <c r="AB547" s="140">
        <f t="shared" si="227"/>
        <v>0</v>
      </c>
    </row>
    <row r="548" spans="1:28" ht="63.75">
      <c r="A548" s="21" t="s">
        <v>19</v>
      </c>
      <c r="B548" s="22">
        <v>1</v>
      </c>
      <c r="C548" s="22">
        <v>5</v>
      </c>
      <c r="D548" s="22">
        <v>3</v>
      </c>
      <c r="E548" s="22">
        <v>0</v>
      </c>
      <c r="F548" s="22">
        <v>4</v>
      </c>
      <c r="G548" s="43"/>
      <c r="H548" s="44" t="s">
        <v>436</v>
      </c>
      <c r="I548" s="43" t="s">
        <v>48</v>
      </c>
      <c r="J548" s="131">
        <v>35</v>
      </c>
      <c r="K548" s="131">
        <v>35</v>
      </c>
      <c r="L548" s="131">
        <v>45</v>
      </c>
      <c r="M548" s="95">
        <v>14</v>
      </c>
      <c r="N548" s="95">
        <v>2</v>
      </c>
      <c r="O548" s="95">
        <v>35</v>
      </c>
      <c r="P548" s="247">
        <v>35</v>
      </c>
      <c r="Q548" s="247">
        <v>35</v>
      </c>
      <c r="R548" s="247">
        <v>35</v>
      </c>
      <c r="S548" s="247">
        <v>35</v>
      </c>
      <c r="T548" s="247">
        <v>35</v>
      </c>
      <c r="U548" s="247">
        <v>35</v>
      </c>
      <c r="V548" s="247">
        <v>35</v>
      </c>
      <c r="W548" s="131">
        <f t="shared" si="223"/>
        <v>271</v>
      </c>
      <c r="X548" s="43">
        <v>2024</v>
      </c>
      <c r="Y548" s="140">
        <f t="shared" si="224"/>
        <v>0</v>
      </c>
      <c r="Z548" s="141">
        <f t="shared" si="225"/>
        <v>0</v>
      </c>
      <c r="AA548" s="140">
        <f t="shared" si="226"/>
        <v>0</v>
      </c>
      <c r="AB548" s="140">
        <f t="shared" si="227"/>
        <v>0</v>
      </c>
    </row>
    <row r="549" spans="1:28" ht="51">
      <c r="A549" s="21" t="s">
        <v>19</v>
      </c>
      <c r="B549" s="22">
        <v>1</v>
      </c>
      <c r="C549" s="22">
        <v>5</v>
      </c>
      <c r="D549" s="22">
        <v>3</v>
      </c>
      <c r="E549" s="22">
        <v>0</v>
      </c>
      <c r="F549" s="22">
        <v>4</v>
      </c>
      <c r="G549" s="43"/>
      <c r="H549" s="44" t="s">
        <v>437</v>
      </c>
      <c r="I549" s="43" t="s">
        <v>48</v>
      </c>
      <c r="J549" s="131">
        <v>150</v>
      </c>
      <c r="K549" s="131">
        <v>150</v>
      </c>
      <c r="L549" s="131">
        <v>155</v>
      </c>
      <c r="M549" s="95">
        <v>155</v>
      </c>
      <c r="N549" s="95">
        <v>155</v>
      </c>
      <c r="O549" s="95">
        <v>150</v>
      </c>
      <c r="P549" s="247">
        <v>150</v>
      </c>
      <c r="Q549" s="247">
        <v>155</v>
      </c>
      <c r="R549" s="247">
        <v>155</v>
      </c>
      <c r="S549" s="247">
        <v>155</v>
      </c>
      <c r="T549" s="247">
        <v>155</v>
      </c>
      <c r="U549" s="247">
        <v>155</v>
      </c>
      <c r="V549" s="247">
        <v>155</v>
      </c>
      <c r="W549" s="131">
        <f t="shared" si="223"/>
        <v>1380</v>
      </c>
      <c r="X549" s="43">
        <v>2024</v>
      </c>
      <c r="Y549" s="140">
        <f t="shared" si="224"/>
        <v>0</v>
      </c>
      <c r="Z549" s="141">
        <f t="shared" si="225"/>
        <v>0</v>
      </c>
      <c r="AA549" s="140">
        <f t="shared" si="226"/>
        <v>0</v>
      </c>
      <c r="AB549" s="140">
        <f t="shared" si="227"/>
        <v>0</v>
      </c>
    </row>
    <row r="550" spans="1:28" ht="63.75">
      <c r="A550" s="36" t="s">
        <v>19</v>
      </c>
      <c r="B550" s="37">
        <v>1</v>
      </c>
      <c r="C550" s="37">
        <v>5</v>
      </c>
      <c r="D550" s="37">
        <v>3</v>
      </c>
      <c r="E550" s="37">
        <v>0</v>
      </c>
      <c r="F550" s="37">
        <v>5</v>
      </c>
      <c r="G550" s="37">
        <v>3</v>
      </c>
      <c r="H550" s="40" t="s">
        <v>438</v>
      </c>
      <c r="I550" s="37" t="s">
        <v>21</v>
      </c>
      <c r="J550" s="88">
        <f>J551</f>
        <v>23512.3</v>
      </c>
      <c r="K550" s="88">
        <f>K551</f>
        <v>55778.6</v>
      </c>
      <c r="L550" s="88">
        <f>L551</f>
        <v>0</v>
      </c>
      <c r="M550" s="89">
        <v>0</v>
      </c>
      <c r="N550" s="88">
        <v>0</v>
      </c>
      <c r="O550" s="88">
        <v>0</v>
      </c>
      <c r="P550" s="365">
        <f>P551</f>
        <v>0</v>
      </c>
      <c r="Q550" s="89">
        <v>0</v>
      </c>
      <c r="R550" s="335">
        <v>0</v>
      </c>
      <c r="S550" s="89">
        <v>0</v>
      </c>
      <c r="T550" s="335">
        <f>T551</f>
        <v>0</v>
      </c>
      <c r="U550" s="89">
        <v>0</v>
      </c>
      <c r="V550" s="335">
        <f>V551</f>
        <v>0</v>
      </c>
      <c r="W550" s="88">
        <f t="shared" si="223"/>
        <v>79290.9</v>
      </c>
      <c r="X550" s="37">
        <v>2017</v>
      </c>
      <c r="Y550" s="140">
        <f t="shared" si="224"/>
        <v>0</v>
      </c>
      <c r="Z550" s="141">
        <f t="shared" si="225"/>
        <v>0</v>
      </c>
      <c r="AA550" s="140">
        <f t="shared" si="226"/>
        <v>0</v>
      </c>
      <c r="AB550" s="140">
        <f t="shared" si="227"/>
        <v>0</v>
      </c>
    </row>
    <row r="551" spans="1:28" s="2" customFormat="1" ht="12.75">
      <c r="A551" s="21" t="s">
        <v>19</v>
      </c>
      <c r="B551" s="22">
        <v>1</v>
      </c>
      <c r="C551" s="22">
        <v>5</v>
      </c>
      <c r="D551" s="22">
        <v>3</v>
      </c>
      <c r="E551" s="22">
        <v>0</v>
      </c>
      <c r="F551" s="22">
        <v>5</v>
      </c>
      <c r="G551" s="22">
        <v>3</v>
      </c>
      <c r="H551" s="26" t="s">
        <v>22</v>
      </c>
      <c r="I551" s="22" t="s">
        <v>21</v>
      </c>
      <c r="J551" s="138">
        <f>12000+11512.3</f>
        <v>23512.3</v>
      </c>
      <c r="K551" s="138">
        <v>55778.6</v>
      </c>
      <c r="L551" s="138">
        <v>0</v>
      </c>
      <c r="M551" s="91">
        <v>0</v>
      </c>
      <c r="N551" s="91">
        <v>0</v>
      </c>
      <c r="O551" s="91">
        <v>0</v>
      </c>
      <c r="P551" s="366">
        <v>0</v>
      </c>
      <c r="Q551" s="91">
        <v>0</v>
      </c>
      <c r="R551" s="366">
        <v>0</v>
      </c>
      <c r="S551" s="91">
        <v>0</v>
      </c>
      <c r="T551" s="366">
        <v>0</v>
      </c>
      <c r="U551" s="91">
        <v>0</v>
      </c>
      <c r="V551" s="366">
        <v>0</v>
      </c>
      <c r="W551" s="138">
        <f t="shared" si="223"/>
        <v>79290.9</v>
      </c>
      <c r="X551" s="22">
        <v>2017</v>
      </c>
      <c r="Y551" s="140">
        <f t="shared" si="224"/>
        <v>0</v>
      </c>
      <c r="Z551" s="141">
        <f t="shared" si="225"/>
        <v>0</v>
      </c>
      <c r="AA551" s="140">
        <f t="shared" si="226"/>
        <v>0</v>
      </c>
      <c r="AB551" s="140">
        <f t="shared" si="227"/>
        <v>0</v>
      </c>
    </row>
    <row r="552" spans="1:28" s="2" customFormat="1" ht="63.75">
      <c r="A552" s="21" t="s">
        <v>19</v>
      </c>
      <c r="B552" s="22">
        <v>1</v>
      </c>
      <c r="C552" s="22">
        <v>5</v>
      </c>
      <c r="D552" s="22">
        <v>3</v>
      </c>
      <c r="E552" s="22">
        <v>0</v>
      </c>
      <c r="F552" s="22">
        <v>5</v>
      </c>
      <c r="G552" s="43"/>
      <c r="H552" s="44" t="s">
        <v>439</v>
      </c>
      <c r="I552" s="43" t="s">
        <v>48</v>
      </c>
      <c r="J552" s="258">
        <v>745</v>
      </c>
      <c r="K552" s="131">
        <v>1323</v>
      </c>
      <c r="L552" s="131">
        <v>0</v>
      </c>
      <c r="M552" s="100">
        <v>0</v>
      </c>
      <c r="N552" s="100">
        <v>0</v>
      </c>
      <c r="O552" s="100">
        <v>0</v>
      </c>
      <c r="P552" s="172">
        <v>0</v>
      </c>
      <c r="Q552" s="100">
        <v>0</v>
      </c>
      <c r="R552" s="172">
        <v>0</v>
      </c>
      <c r="S552" s="100">
        <v>0</v>
      </c>
      <c r="T552" s="172">
        <v>0</v>
      </c>
      <c r="U552" s="100">
        <v>0</v>
      </c>
      <c r="V552" s="172">
        <v>0</v>
      </c>
      <c r="W552" s="131">
        <f t="shared" si="223"/>
        <v>2068</v>
      </c>
      <c r="X552" s="43">
        <v>2017</v>
      </c>
      <c r="Y552" s="140">
        <f t="shared" si="224"/>
        <v>0</v>
      </c>
      <c r="Z552" s="141">
        <f t="shared" si="225"/>
        <v>0</v>
      </c>
      <c r="AA552" s="140">
        <f t="shared" si="226"/>
        <v>0</v>
      </c>
      <c r="AB552" s="140">
        <f t="shared" si="227"/>
        <v>0</v>
      </c>
    </row>
    <row r="553" spans="1:28" ht="25.5">
      <c r="A553" s="160" t="s">
        <v>19</v>
      </c>
      <c r="B553" s="34">
        <v>1</v>
      </c>
      <c r="C553" s="34">
        <v>5</v>
      </c>
      <c r="D553" s="34">
        <v>4</v>
      </c>
      <c r="E553" s="34">
        <v>0</v>
      </c>
      <c r="F553" s="34">
        <v>0</v>
      </c>
      <c r="G553" s="34"/>
      <c r="H553" s="35" t="s">
        <v>440</v>
      </c>
      <c r="I553" s="34" t="s">
        <v>21</v>
      </c>
      <c r="J553" s="81">
        <f aca="true" t="shared" si="229" ref="J553:V553">J554</f>
        <v>125</v>
      </c>
      <c r="K553" s="81">
        <f t="shared" si="229"/>
        <v>125</v>
      </c>
      <c r="L553" s="81">
        <f t="shared" si="229"/>
        <v>125</v>
      </c>
      <c r="M553" s="81">
        <f t="shared" si="229"/>
        <v>124.5</v>
      </c>
      <c r="N553" s="81">
        <v>122.2</v>
      </c>
      <c r="O553" s="81">
        <v>35</v>
      </c>
      <c r="P553" s="242">
        <f t="shared" si="229"/>
        <v>35</v>
      </c>
      <c r="Q553" s="242">
        <v>35</v>
      </c>
      <c r="R553" s="242">
        <f t="shared" si="229"/>
        <v>35</v>
      </c>
      <c r="S553" s="242">
        <v>35</v>
      </c>
      <c r="T553" s="242">
        <f t="shared" si="229"/>
        <v>35</v>
      </c>
      <c r="U553" s="242">
        <v>25</v>
      </c>
      <c r="V553" s="242">
        <f t="shared" si="229"/>
        <v>25</v>
      </c>
      <c r="W553" s="81">
        <f t="shared" si="223"/>
        <v>751.7</v>
      </c>
      <c r="X553" s="34">
        <v>2024</v>
      </c>
      <c r="Y553" s="140">
        <f t="shared" si="224"/>
        <v>0</v>
      </c>
      <c r="Z553" s="141">
        <f t="shared" si="225"/>
        <v>0</v>
      </c>
      <c r="AA553" s="140">
        <f t="shared" si="226"/>
        <v>0</v>
      </c>
      <c r="AB553" s="140">
        <f t="shared" si="227"/>
        <v>0</v>
      </c>
    </row>
    <row r="554" spans="1:28" s="2" customFormat="1" ht="12.75">
      <c r="A554" s="21" t="s">
        <v>19</v>
      </c>
      <c r="B554" s="22">
        <v>1</v>
      </c>
      <c r="C554" s="22">
        <v>5</v>
      </c>
      <c r="D554" s="22">
        <v>4</v>
      </c>
      <c r="E554" s="22">
        <v>0</v>
      </c>
      <c r="F554" s="22">
        <v>0</v>
      </c>
      <c r="G554" s="22"/>
      <c r="H554" s="26" t="s">
        <v>22</v>
      </c>
      <c r="I554" s="22" t="s">
        <v>21</v>
      </c>
      <c r="J554" s="138">
        <f>J561</f>
        <v>125</v>
      </c>
      <c r="K554" s="138">
        <f>K561</f>
        <v>125</v>
      </c>
      <c r="L554" s="138">
        <f>L561</f>
        <v>125</v>
      </c>
      <c r="M554" s="138">
        <f aca="true" t="shared" si="230" ref="M554:V554">M561</f>
        <v>124.5</v>
      </c>
      <c r="N554" s="138">
        <v>122.2</v>
      </c>
      <c r="O554" s="138">
        <v>35</v>
      </c>
      <c r="P554" s="117">
        <f t="shared" si="230"/>
        <v>35</v>
      </c>
      <c r="Q554" s="117">
        <v>35</v>
      </c>
      <c r="R554" s="117">
        <f t="shared" si="230"/>
        <v>35</v>
      </c>
      <c r="S554" s="117">
        <v>35</v>
      </c>
      <c r="T554" s="117">
        <f t="shared" si="230"/>
        <v>35</v>
      </c>
      <c r="U554" s="117">
        <v>25</v>
      </c>
      <c r="V554" s="117">
        <f t="shared" si="230"/>
        <v>25</v>
      </c>
      <c r="W554" s="138">
        <f t="shared" si="223"/>
        <v>751.7</v>
      </c>
      <c r="X554" s="45">
        <v>2024</v>
      </c>
      <c r="Y554" s="140">
        <f t="shared" si="224"/>
        <v>0</v>
      </c>
      <c r="Z554" s="141">
        <f t="shared" si="225"/>
        <v>0</v>
      </c>
      <c r="AA554" s="140">
        <f t="shared" si="226"/>
        <v>0</v>
      </c>
      <c r="AB554" s="140">
        <f t="shared" si="227"/>
        <v>0</v>
      </c>
    </row>
    <row r="555" spans="1:28" s="2" customFormat="1" ht="38.25">
      <c r="A555" s="21" t="s">
        <v>19</v>
      </c>
      <c r="B555" s="22">
        <v>1</v>
      </c>
      <c r="C555" s="22">
        <v>5</v>
      </c>
      <c r="D555" s="22">
        <v>4</v>
      </c>
      <c r="E555" s="22">
        <v>0</v>
      </c>
      <c r="F555" s="22">
        <v>0</v>
      </c>
      <c r="G555" s="22">
        <v>3</v>
      </c>
      <c r="H555" s="44" t="s">
        <v>441</v>
      </c>
      <c r="I555" s="173" t="s">
        <v>28</v>
      </c>
      <c r="J555" s="129">
        <v>70</v>
      </c>
      <c r="K555" s="129">
        <v>79</v>
      </c>
      <c r="L555" s="129">
        <v>78.3</v>
      </c>
      <c r="M555" s="77">
        <v>79</v>
      </c>
      <c r="N555" s="236">
        <v>80.2</v>
      </c>
      <c r="O555" s="236">
        <v>80.2</v>
      </c>
      <c r="P555" s="351">
        <v>80.2</v>
      </c>
      <c r="Q555" s="351">
        <v>80.3</v>
      </c>
      <c r="R555" s="351">
        <v>80.3</v>
      </c>
      <c r="S555" s="351">
        <v>80.3</v>
      </c>
      <c r="T555" s="351">
        <v>80.3</v>
      </c>
      <c r="U555" s="351">
        <v>80.4</v>
      </c>
      <c r="V555" s="351">
        <v>80.4</v>
      </c>
      <c r="W555" s="129">
        <v>80.4</v>
      </c>
      <c r="X555" s="43">
        <v>2024</v>
      </c>
      <c r="Y555" s="140">
        <f t="shared" si="224"/>
        <v>0</v>
      </c>
      <c r="Z555" s="141">
        <f t="shared" si="225"/>
        <v>0</v>
      </c>
      <c r="AA555" s="140">
        <f t="shared" si="226"/>
        <v>0</v>
      </c>
      <c r="AB555" s="140">
        <f t="shared" si="227"/>
        <v>0</v>
      </c>
    </row>
    <row r="556" spans="1:28" ht="51">
      <c r="A556" s="21" t="s">
        <v>19</v>
      </c>
      <c r="B556" s="22">
        <v>1</v>
      </c>
      <c r="C556" s="22">
        <v>5</v>
      </c>
      <c r="D556" s="22">
        <v>4</v>
      </c>
      <c r="E556" s="22">
        <v>0</v>
      </c>
      <c r="F556" s="22">
        <v>0</v>
      </c>
      <c r="G556" s="43"/>
      <c r="H556" s="44" t="s">
        <v>442</v>
      </c>
      <c r="I556" s="173" t="s">
        <v>28</v>
      </c>
      <c r="J556" s="129">
        <v>42.6</v>
      </c>
      <c r="K556" s="129">
        <v>100</v>
      </c>
      <c r="L556" s="129">
        <v>100</v>
      </c>
      <c r="M556" s="77">
        <v>100</v>
      </c>
      <c r="N556" s="236">
        <v>100</v>
      </c>
      <c r="O556" s="236">
        <v>100</v>
      </c>
      <c r="P556" s="351">
        <v>100</v>
      </c>
      <c r="Q556" s="351">
        <v>100</v>
      </c>
      <c r="R556" s="351">
        <v>100</v>
      </c>
      <c r="S556" s="351">
        <v>100</v>
      </c>
      <c r="T556" s="351">
        <v>100</v>
      </c>
      <c r="U556" s="351">
        <v>100</v>
      </c>
      <c r="V556" s="351">
        <v>100</v>
      </c>
      <c r="W556" s="129">
        <v>100</v>
      </c>
      <c r="X556" s="43">
        <v>2024</v>
      </c>
      <c r="Y556" s="140">
        <f t="shared" si="224"/>
        <v>0</v>
      </c>
      <c r="Z556" s="141">
        <f t="shared" si="225"/>
        <v>0</v>
      </c>
      <c r="AA556" s="140">
        <f t="shared" si="226"/>
        <v>0</v>
      </c>
      <c r="AB556" s="140">
        <f t="shared" si="227"/>
        <v>0</v>
      </c>
    </row>
    <row r="557" spans="1:28" ht="63.75">
      <c r="A557" s="36" t="s">
        <v>19</v>
      </c>
      <c r="B557" s="37">
        <v>1</v>
      </c>
      <c r="C557" s="37">
        <v>5</v>
      </c>
      <c r="D557" s="37">
        <v>4</v>
      </c>
      <c r="E557" s="37">
        <v>0</v>
      </c>
      <c r="F557" s="37">
        <v>1</v>
      </c>
      <c r="G557" s="38"/>
      <c r="H557" s="39" t="s">
        <v>443</v>
      </c>
      <c r="I557" s="38" t="s">
        <v>43</v>
      </c>
      <c r="J557" s="87" t="s">
        <v>44</v>
      </c>
      <c r="K557" s="87" t="s">
        <v>44</v>
      </c>
      <c r="L557" s="88" t="s">
        <v>44</v>
      </c>
      <c r="M557" s="125" t="s">
        <v>44</v>
      </c>
      <c r="N557" s="88" t="s">
        <v>44</v>
      </c>
      <c r="O557" s="88" t="s">
        <v>44</v>
      </c>
      <c r="P557" s="349" t="s">
        <v>44</v>
      </c>
      <c r="Q557" s="374" t="s">
        <v>44</v>
      </c>
      <c r="R557" s="374" t="s">
        <v>44</v>
      </c>
      <c r="S557" s="374" t="s">
        <v>44</v>
      </c>
      <c r="T557" s="374" t="s">
        <v>44</v>
      </c>
      <c r="U557" s="374" t="s">
        <v>44</v>
      </c>
      <c r="V557" s="374" t="s">
        <v>44</v>
      </c>
      <c r="W557" s="87" t="s">
        <v>44</v>
      </c>
      <c r="X557" s="38">
        <v>2024</v>
      </c>
      <c r="Y557" s="140">
        <f t="shared" si="224"/>
        <v>0</v>
      </c>
      <c r="Z557" s="141">
        <f t="shared" si="225"/>
        <v>0</v>
      </c>
      <c r="AA557" s="140">
        <f t="shared" si="226"/>
        <v>0</v>
      </c>
      <c r="AB557" s="140">
        <f t="shared" si="227"/>
        <v>0</v>
      </c>
    </row>
    <row r="558" spans="1:28" ht="51">
      <c r="A558" s="21" t="s">
        <v>19</v>
      </c>
      <c r="B558" s="22">
        <v>1</v>
      </c>
      <c r="C558" s="22">
        <v>5</v>
      </c>
      <c r="D558" s="22">
        <v>4</v>
      </c>
      <c r="E558" s="22">
        <v>0</v>
      </c>
      <c r="F558" s="22">
        <v>1</v>
      </c>
      <c r="G558" s="43"/>
      <c r="H558" s="44" t="s">
        <v>444</v>
      </c>
      <c r="I558" s="173" t="s">
        <v>445</v>
      </c>
      <c r="J558" s="173">
        <v>1</v>
      </c>
      <c r="K558" s="173">
        <v>1</v>
      </c>
      <c r="L558" s="173">
        <v>1</v>
      </c>
      <c r="M558" s="107">
        <v>1</v>
      </c>
      <c r="N558" s="107">
        <v>1</v>
      </c>
      <c r="O558" s="107">
        <v>1</v>
      </c>
      <c r="P558" s="367">
        <v>1</v>
      </c>
      <c r="Q558" s="367">
        <v>1</v>
      </c>
      <c r="R558" s="367">
        <v>1</v>
      </c>
      <c r="S558" s="367">
        <v>1</v>
      </c>
      <c r="T558" s="367">
        <v>1</v>
      </c>
      <c r="U558" s="367">
        <v>1</v>
      </c>
      <c r="V558" s="367">
        <v>1</v>
      </c>
      <c r="W558" s="173">
        <f>J558+K558+L558+M558+N558+P558+R558+T558+V558</f>
        <v>9</v>
      </c>
      <c r="X558" s="43">
        <v>2024</v>
      </c>
      <c r="Y558" s="140"/>
      <c r="Z558" s="141"/>
      <c r="AA558" s="140"/>
      <c r="AB558" s="140"/>
    </row>
    <row r="559" spans="1:28" ht="38.25">
      <c r="A559" s="21" t="s">
        <v>19</v>
      </c>
      <c r="B559" s="22">
        <v>1</v>
      </c>
      <c r="C559" s="22">
        <v>5</v>
      </c>
      <c r="D559" s="22">
        <v>4</v>
      </c>
      <c r="E559" s="22">
        <v>0</v>
      </c>
      <c r="F559" s="22">
        <v>1</v>
      </c>
      <c r="G559" s="43"/>
      <c r="H559" s="44" t="s">
        <v>446</v>
      </c>
      <c r="I559" s="43" t="s">
        <v>57</v>
      </c>
      <c r="J559" s="131">
        <v>29</v>
      </c>
      <c r="K559" s="131">
        <v>60</v>
      </c>
      <c r="L559" s="131">
        <v>61</v>
      </c>
      <c r="M559" s="95">
        <v>64</v>
      </c>
      <c r="N559" s="95">
        <v>64</v>
      </c>
      <c r="O559" s="95">
        <v>64</v>
      </c>
      <c r="P559" s="247">
        <v>64</v>
      </c>
      <c r="Q559" s="247">
        <v>64</v>
      </c>
      <c r="R559" s="247">
        <v>64</v>
      </c>
      <c r="S559" s="247">
        <v>64</v>
      </c>
      <c r="T559" s="247">
        <v>64</v>
      </c>
      <c r="U559" s="247">
        <v>64</v>
      </c>
      <c r="V559" s="247">
        <v>64</v>
      </c>
      <c r="W559" s="131">
        <v>64</v>
      </c>
      <c r="X559" s="43">
        <v>2024</v>
      </c>
      <c r="Y559" s="140">
        <f aca="true" t="shared" si="231" ref="Y559:Y572">P558-O558</f>
        <v>0</v>
      </c>
      <c r="Z559" s="141">
        <f aca="true" t="shared" si="232" ref="Z559:Z572">R558-Q558</f>
        <v>0</v>
      </c>
      <c r="AA559" s="140">
        <f aca="true" t="shared" si="233" ref="AA559:AA572">T558-S558</f>
        <v>0</v>
      </c>
      <c r="AB559" s="140">
        <f aca="true" t="shared" si="234" ref="AB559:AB572">V558-U558</f>
        <v>0</v>
      </c>
    </row>
    <row r="560" spans="1:28" ht="63.75">
      <c r="A560" s="36" t="s">
        <v>19</v>
      </c>
      <c r="B560" s="37">
        <v>1</v>
      </c>
      <c r="C560" s="37">
        <v>5</v>
      </c>
      <c r="D560" s="37">
        <v>4</v>
      </c>
      <c r="E560" s="37">
        <v>0</v>
      </c>
      <c r="F560" s="37">
        <v>2</v>
      </c>
      <c r="G560" s="37"/>
      <c r="H560" s="40" t="s">
        <v>447</v>
      </c>
      <c r="I560" s="37" t="s">
        <v>21</v>
      </c>
      <c r="J560" s="88">
        <f aca="true" t="shared" si="235" ref="J560:V560">J561</f>
        <v>125</v>
      </c>
      <c r="K560" s="88">
        <f t="shared" si="235"/>
        <v>125</v>
      </c>
      <c r="L560" s="88">
        <f t="shared" si="235"/>
        <v>125</v>
      </c>
      <c r="M560" s="89">
        <f t="shared" si="235"/>
        <v>124.5</v>
      </c>
      <c r="N560" s="88">
        <v>122.2</v>
      </c>
      <c r="O560" s="88">
        <v>35</v>
      </c>
      <c r="P560" s="349">
        <f t="shared" si="235"/>
        <v>35</v>
      </c>
      <c r="Q560" s="349">
        <v>35</v>
      </c>
      <c r="R560" s="349">
        <f t="shared" si="235"/>
        <v>35</v>
      </c>
      <c r="S560" s="195">
        <v>35</v>
      </c>
      <c r="T560" s="195">
        <f t="shared" si="235"/>
        <v>35</v>
      </c>
      <c r="U560" s="195">
        <v>25</v>
      </c>
      <c r="V560" s="195">
        <f t="shared" si="235"/>
        <v>25</v>
      </c>
      <c r="W560" s="88">
        <f aca="true" t="shared" si="236" ref="W560:W570">J560+K560+L560+M560+N560+P560+R560+T560+V560</f>
        <v>751.7</v>
      </c>
      <c r="X560" s="37">
        <v>2024</v>
      </c>
      <c r="Y560" s="140">
        <f t="shared" si="231"/>
        <v>0</v>
      </c>
      <c r="Z560" s="141">
        <f t="shared" si="232"/>
        <v>0</v>
      </c>
      <c r="AA560" s="140">
        <f t="shared" si="233"/>
        <v>0</v>
      </c>
      <c r="AB560" s="140">
        <f t="shared" si="234"/>
        <v>0</v>
      </c>
    </row>
    <row r="561" spans="1:28" s="2" customFormat="1" ht="15">
      <c r="A561" s="21" t="s">
        <v>19</v>
      </c>
      <c r="B561" s="22">
        <v>1</v>
      </c>
      <c r="C561" s="22">
        <v>5</v>
      </c>
      <c r="D561" s="22">
        <v>4</v>
      </c>
      <c r="E561" s="22">
        <v>0</v>
      </c>
      <c r="F561" s="22">
        <v>2</v>
      </c>
      <c r="G561" s="22"/>
      <c r="H561" s="26" t="s">
        <v>22</v>
      </c>
      <c r="I561" s="22" t="s">
        <v>21</v>
      </c>
      <c r="J561" s="138">
        <v>125</v>
      </c>
      <c r="K561" s="138">
        <v>125</v>
      </c>
      <c r="L561" s="138">
        <v>125</v>
      </c>
      <c r="M561" s="368">
        <v>124.5</v>
      </c>
      <c r="N561" s="368">
        <v>122.2</v>
      </c>
      <c r="O561" s="368">
        <v>35</v>
      </c>
      <c r="P561" s="369">
        <v>35</v>
      </c>
      <c r="Q561" s="369">
        <v>35</v>
      </c>
      <c r="R561" s="369">
        <v>35</v>
      </c>
      <c r="S561" s="369">
        <v>35</v>
      </c>
      <c r="T561" s="369">
        <v>35</v>
      </c>
      <c r="U561" s="369">
        <v>25</v>
      </c>
      <c r="V561" s="369">
        <v>25</v>
      </c>
      <c r="W561" s="138">
        <f t="shared" si="236"/>
        <v>751.7</v>
      </c>
      <c r="X561" s="22">
        <v>2024</v>
      </c>
      <c r="Y561" s="140">
        <f t="shared" si="231"/>
        <v>0</v>
      </c>
      <c r="Z561" s="141">
        <f t="shared" si="232"/>
        <v>0</v>
      </c>
      <c r="AA561" s="140">
        <f t="shared" si="233"/>
        <v>0</v>
      </c>
      <c r="AB561" s="140">
        <f t="shared" si="234"/>
        <v>0</v>
      </c>
    </row>
    <row r="562" spans="1:28" s="2" customFormat="1" ht="51">
      <c r="A562" s="21" t="s">
        <v>19</v>
      </c>
      <c r="B562" s="22">
        <v>1</v>
      </c>
      <c r="C562" s="22">
        <v>5</v>
      </c>
      <c r="D562" s="22">
        <v>4</v>
      </c>
      <c r="E562" s="22">
        <v>0</v>
      </c>
      <c r="F562" s="22">
        <v>2</v>
      </c>
      <c r="G562" s="22">
        <v>3</v>
      </c>
      <c r="H562" s="44" t="s">
        <v>448</v>
      </c>
      <c r="I562" s="43" t="s">
        <v>57</v>
      </c>
      <c r="J562" s="131">
        <v>2</v>
      </c>
      <c r="K562" s="131">
        <v>2</v>
      </c>
      <c r="L562" s="131">
        <v>4</v>
      </c>
      <c r="M562" s="95">
        <v>16</v>
      </c>
      <c r="N562" s="95">
        <v>0</v>
      </c>
      <c r="O562" s="95">
        <v>2</v>
      </c>
      <c r="P562" s="247">
        <v>2</v>
      </c>
      <c r="Q562" s="247">
        <v>2</v>
      </c>
      <c r="R562" s="247">
        <v>2</v>
      </c>
      <c r="S562" s="247">
        <v>2</v>
      </c>
      <c r="T562" s="247">
        <v>2</v>
      </c>
      <c r="U562" s="247">
        <v>2</v>
      </c>
      <c r="V562" s="247">
        <v>2</v>
      </c>
      <c r="W562" s="131">
        <f t="shared" si="236"/>
        <v>32</v>
      </c>
      <c r="X562" s="43">
        <v>2024</v>
      </c>
      <c r="Y562" s="140">
        <f t="shared" si="231"/>
        <v>0</v>
      </c>
      <c r="Z562" s="141">
        <f t="shared" si="232"/>
        <v>0</v>
      </c>
      <c r="AA562" s="140">
        <f t="shared" si="233"/>
        <v>0</v>
      </c>
      <c r="AB562" s="140">
        <f t="shared" si="234"/>
        <v>0</v>
      </c>
    </row>
    <row r="563" spans="1:28" ht="51">
      <c r="A563" s="21" t="s">
        <v>19</v>
      </c>
      <c r="B563" s="22">
        <v>1</v>
      </c>
      <c r="C563" s="22">
        <v>5</v>
      </c>
      <c r="D563" s="22">
        <v>4</v>
      </c>
      <c r="E563" s="22">
        <v>0</v>
      </c>
      <c r="F563" s="22">
        <v>2</v>
      </c>
      <c r="G563" s="43"/>
      <c r="H563" s="44" t="s">
        <v>449</v>
      </c>
      <c r="I563" s="43" t="s">
        <v>57</v>
      </c>
      <c r="J563" s="131">
        <v>3</v>
      </c>
      <c r="K563" s="131">
        <v>3</v>
      </c>
      <c r="L563" s="131">
        <v>11</v>
      </c>
      <c r="M563" s="95">
        <v>22</v>
      </c>
      <c r="N563" s="95">
        <v>15</v>
      </c>
      <c r="O563" s="95">
        <v>3</v>
      </c>
      <c r="P563" s="247">
        <v>3</v>
      </c>
      <c r="Q563" s="247">
        <v>3</v>
      </c>
      <c r="R563" s="247">
        <v>3</v>
      </c>
      <c r="S563" s="247">
        <v>3</v>
      </c>
      <c r="T563" s="247">
        <v>3</v>
      </c>
      <c r="U563" s="247">
        <v>3</v>
      </c>
      <c r="V563" s="247">
        <v>3</v>
      </c>
      <c r="W563" s="131">
        <f t="shared" si="236"/>
        <v>66</v>
      </c>
      <c r="X563" s="43">
        <v>2024</v>
      </c>
      <c r="Y563" s="140">
        <f t="shared" si="231"/>
        <v>0</v>
      </c>
      <c r="Z563" s="141">
        <f t="shared" si="232"/>
        <v>0</v>
      </c>
      <c r="AA563" s="140">
        <f t="shared" si="233"/>
        <v>0</v>
      </c>
      <c r="AB563" s="140">
        <f t="shared" si="234"/>
        <v>0</v>
      </c>
    </row>
    <row r="564" spans="1:28" ht="12.75">
      <c r="A564" s="23" t="s">
        <v>19</v>
      </c>
      <c r="B564" s="24">
        <v>1</v>
      </c>
      <c r="C564" s="24">
        <v>9</v>
      </c>
      <c r="D564" s="24">
        <v>0</v>
      </c>
      <c r="E564" s="24">
        <v>0</v>
      </c>
      <c r="F564" s="24">
        <v>0</v>
      </c>
      <c r="G564" s="24"/>
      <c r="H564" s="25" t="s">
        <v>450</v>
      </c>
      <c r="I564" s="24" t="s">
        <v>21</v>
      </c>
      <c r="J564" s="61">
        <f>J565+J566</f>
        <v>56709</v>
      </c>
      <c r="K564" s="61">
        <f>K565+K566</f>
        <v>54057.3</v>
      </c>
      <c r="L564" s="61">
        <f>L565+L566</f>
        <v>57263.9</v>
      </c>
      <c r="M564" s="62">
        <f>M565</f>
        <v>65671.6</v>
      </c>
      <c r="N564" s="61">
        <v>62470.7</v>
      </c>
      <c r="O564" s="61">
        <v>66934.9</v>
      </c>
      <c r="P564" s="370">
        <f>P565+P566</f>
        <v>66692.7</v>
      </c>
      <c r="Q564" s="61">
        <v>69214.4</v>
      </c>
      <c r="R564" s="61">
        <f>R565+R566</f>
        <v>69214.4</v>
      </c>
      <c r="S564" s="61">
        <v>69214.5</v>
      </c>
      <c r="T564" s="61">
        <f>T565+T566</f>
        <v>69214.5</v>
      </c>
      <c r="U564" s="62">
        <v>71473.1</v>
      </c>
      <c r="V564" s="62">
        <f>V565+V566</f>
        <v>71473.1</v>
      </c>
      <c r="W564" s="370">
        <f t="shared" si="236"/>
        <v>572767.2</v>
      </c>
      <c r="X564" s="24">
        <v>2024</v>
      </c>
      <c r="Y564" s="140">
        <f t="shared" si="231"/>
        <v>0</v>
      </c>
      <c r="Z564" s="141">
        <f t="shared" si="232"/>
        <v>0</v>
      </c>
      <c r="AA564" s="140">
        <f t="shared" si="233"/>
        <v>0</v>
      </c>
      <c r="AB564" s="140">
        <f t="shared" si="234"/>
        <v>0</v>
      </c>
    </row>
    <row r="565" spans="1:28" s="2" customFormat="1" ht="12.75">
      <c r="A565" s="21" t="s">
        <v>19</v>
      </c>
      <c r="B565" s="22">
        <v>1</v>
      </c>
      <c r="C565" s="22">
        <v>9</v>
      </c>
      <c r="D565" s="22">
        <v>0</v>
      </c>
      <c r="E565" s="22">
        <v>0</v>
      </c>
      <c r="F565" s="22">
        <v>0</v>
      </c>
      <c r="G565" s="22"/>
      <c r="H565" s="26" t="s">
        <v>22</v>
      </c>
      <c r="I565" s="22" t="s">
        <v>21</v>
      </c>
      <c r="J565" s="138">
        <f aca="true" t="shared" si="237" ref="J565:L566">J569</f>
        <v>56709</v>
      </c>
      <c r="K565" s="138">
        <f t="shared" si="237"/>
        <v>54057.3</v>
      </c>
      <c r="L565" s="138">
        <f t="shared" si="237"/>
        <v>57003</v>
      </c>
      <c r="M565" s="91">
        <f>M569</f>
        <v>65671.6</v>
      </c>
      <c r="N565" s="91">
        <v>62470.7</v>
      </c>
      <c r="O565" s="91">
        <v>66934.9</v>
      </c>
      <c r="P565" s="92">
        <f>P568</f>
        <v>66692.7</v>
      </c>
      <c r="Q565" s="91">
        <v>69214.4</v>
      </c>
      <c r="R565" s="91">
        <f>R568</f>
        <v>69214.4</v>
      </c>
      <c r="S565" s="91">
        <v>69214.5</v>
      </c>
      <c r="T565" s="91">
        <f>T568</f>
        <v>69214.5</v>
      </c>
      <c r="U565" s="91">
        <v>71473.1</v>
      </c>
      <c r="V565" s="91">
        <f>V569</f>
        <v>71473.1</v>
      </c>
      <c r="W565" s="229">
        <f t="shared" si="236"/>
        <v>572506.3</v>
      </c>
      <c r="X565" s="22">
        <v>2024</v>
      </c>
      <c r="Y565" s="140">
        <f t="shared" si="231"/>
        <v>-242.2</v>
      </c>
      <c r="Z565" s="141">
        <f t="shared" si="232"/>
        <v>0</v>
      </c>
      <c r="AA565" s="140">
        <f t="shared" si="233"/>
        <v>0</v>
      </c>
      <c r="AB565" s="140">
        <f t="shared" si="234"/>
        <v>0</v>
      </c>
    </row>
    <row r="566" spans="1:28" s="2" customFormat="1" ht="12.75">
      <c r="A566" s="21" t="s">
        <v>19</v>
      </c>
      <c r="B566" s="22">
        <v>1</v>
      </c>
      <c r="C566" s="22">
        <v>9</v>
      </c>
      <c r="D566" s="22">
        <v>0</v>
      </c>
      <c r="E566" s="22">
        <v>0</v>
      </c>
      <c r="F566" s="22">
        <v>0</v>
      </c>
      <c r="G566" s="22"/>
      <c r="H566" s="26" t="s">
        <v>138</v>
      </c>
      <c r="I566" s="22" t="s">
        <v>21</v>
      </c>
      <c r="J566" s="138">
        <f t="shared" si="237"/>
        <v>0</v>
      </c>
      <c r="K566" s="138">
        <f t="shared" si="237"/>
        <v>0</v>
      </c>
      <c r="L566" s="138">
        <f t="shared" si="237"/>
        <v>260.9</v>
      </c>
      <c r="M566" s="91">
        <v>0</v>
      </c>
      <c r="N566" s="91">
        <v>0</v>
      </c>
      <c r="O566" s="91">
        <v>0</v>
      </c>
      <c r="P566" s="92">
        <v>0</v>
      </c>
      <c r="Q566" s="91">
        <v>0</v>
      </c>
      <c r="R566" s="91">
        <v>0</v>
      </c>
      <c r="S566" s="91">
        <v>0</v>
      </c>
      <c r="T566" s="91">
        <f>T570</f>
        <v>0</v>
      </c>
      <c r="U566" s="91">
        <v>0</v>
      </c>
      <c r="V566" s="91">
        <f>V570</f>
        <v>0</v>
      </c>
      <c r="W566" s="138">
        <f t="shared" si="236"/>
        <v>260.9</v>
      </c>
      <c r="X566" s="22">
        <v>2018</v>
      </c>
      <c r="Y566" s="140">
        <f t="shared" si="231"/>
        <v>-242.2</v>
      </c>
      <c r="Z566" s="141">
        <f t="shared" si="232"/>
        <v>0</v>
      </c>
      <c r="AA566" s="140">
        <f t="shared" si="233"/>
        <v>0</v>
      </c>
      <c r="AB566" s="140">
        <f t="shared" si="234"/>
        <v>0</v>
      </c>
    </row>
    <row r="567" spans="1:28" s="2" customFormat="1" ht="63.75">
      <c r="A567" s="21" t="s">
        <v>19</v>
      </c>
      <c r="B567" s="22">
        <v>1</v>
      </c>
      <c r="C567" s="22">
        <v>9</v>
      </c>
      <c r="D567" s="22">
        <v>1</v>
      </c>
      <c r="E567" s="22">
        <v>0</v>
      </c>
      <c r="F567" s="22">
        <v>0</v>
      </c>
      <c r="G567" s="22">
        <v>3</v>
      </c>
      <c r="H567" s="26" t="s">
        <v>451</v>
      </c>
      <c r="I567" s="22" t="s">
        <v>21</v>
      </c>
      <c r="J567" s="138">
        <f aca="true" t="shared" si="238" ref="J567:T567">J568</f>
        <v>56709</v>
      </c>
      <c r="K567" s="138">
        <f t="shared" si="238"/>
        <v>54057.3</v>
      </c>
      <c r="L567" s="138">
        <f t="shared" si="238"/>
        <v>57263.9</v>
      </c>
      <c r="M567" s="138">
        <f t="shared" si="238"/>
        <v>65671.6</v>
      </c>
      <c r="N567" s="91">
        <v>62470.7</v>
      </c>
      <c r="O567" s="91">
        <v>66934.9</v>
      </c>
      <c r="P567" s="92">
        <f t="shared" si="238"/>
        <v>66692.7</v>
      </c>
      <c r="Q567" s="91">
        <v>69214.4</v>
      </c>
      <c r="R567" s="91">
        <f t="shared" si="238"/>
        <v>69214.4</v>
      </c>
      <c r="S567" s="91">
        <v>69214.5</v>
      </c>
      <c r="T567" s="91">
        <f t="shared" si="238"/>
        <v>69214.5</v>
      </c>
      <c r="U567" s="91">
        <v>71473.1</v>
      </c>
      <c r="V567" s="91">
        <f>V569</f>
        <v>71473.1</v>
      </c>
      <c r="W567" s="229">
        <f t="shared" si="236"/>
        <v>572767.2</v>
      </c>
      <c r="X567" s="22">
        <v>2024</v>
      </c>
      <c r="Y567" s="140">
        <f t="shared" si="231"/>
        <v>0</v>
      </c>
      <c r="Z567" s="141">
        <f t="shared" si="232"/>
        <v>0</v>
      </c>
      <c r="AA567" s="140">
        <f t="shared" si="233"/>
        <v>0</v>
      </c>
      <c r="AB567" s="140">
        <f t="shared" si="234"/>
        <v>0</v>
      </c>
    </row>
    <row r="568" spans="1:28" s="2" customFormat="1" ht="38.25">
      <c r="A568" s="36" t="s">
        <v>19</v>
      </c>
      <c r="B568" s="37">
        <v>1</v>
      </c>
      <c r="C568" s="37">
        <v>9</v>
      </c>
      <c r="D568" s="37">
        <v>1</v>
      </c>
      <c r="E568" s="37">
        <v>0</v>
      </c>
      <c r="F568" s="37">
        <v>1</v>
      </c>
      <c r="G568" s="37"/>
      <c r="H568" s="40" t="s">
        <v>452</v>
      </c>
      <c r="I568" s="37" t="s">
        <v>21</v>
      </c>
      <c r="J568" s="88">
        <f aca="true" t="shared" si="239" ref="J568:V568">J569+J570</f>
        <v>56709</v>
      </c>
      <c r="K568" s="88">
        <f t="shared" si="239"/>
        <v>54057.3</v>
      </c>
      <c r="L568" s="88">
        <f t="shared" si="239"/>
        <v>57263.9</v>
      </c>
      <c r="M568" s="89">
        <f t="shared" si="239"/>
        <v>65671.6</v>
      </c>
      <c r="N568" s="89">
        <v>62470.7</v>
      </c>
      <c r="O568" s="89">
        <v>66934.9</v>
      </c>
      <c r="P568" s="90">
        <f t="shared" si="239"/>
        <v>66692.7</v>
      </c>
      <c r="Q568" s="89">
        <v>69214.4</v>
      </c>
      <c r="R568" s="89">
        <f t="shared" si="239"/>
        <v>69214.4</v>
      </c>
      <c r="S568" s="89">
        <v>69214.5</v>
      </c>
      <c r="T568" s="89">
        <f t="shared" si="239"/>
        <v>69214.5</v>
      </c>
      <c r="U568" s="89">
        <v>71473.1</v>
      </c>
      <c r="V568" s="89">
        <f t="shared" si="239"/>
        <v>71473.1</v>
      </c>
      <c r="W568" s="109">
        <f t="shared" si="236"/>
        <v>572767.2</v>
      </c>
      <c r="X568" s="37">
        <v>2024</v>
      </c>
      <c r="Y568" s="140">
        <f t="shared" si="231"/>
        <v>-242.2</v>
      </c>
      <c r="Z568" s="141">
        <f t="shared" si="232"/>
        <v>0</v>
      </c>
      <c r="AA568" s="140">
        <f t="shared" si="233"/>
        <v>0</v>
      </c>
      <c r="AB568" s="140">
        <f t="shared" si="234"/>
        <v>0</v>
      </c>
    </row>
    <row r="569" spans="1:28" s="2" customFormat="1" ht="12.75">
      <c r="A569" s="21" t="s">
        <v>19</v>
      </c>
      <c r="B569" s="22">
        <v>1</v>
      </c>
      <c r="C569" s="22">
        <v>9</v>
      </c>
      <c r="D569" s="22">
        <v>1</v>
      </c>
      <c r="E569" s="22">
        <v>0</v>
      </c>
      <c r="F569" s="22">
        <v>1</v>
      </c>
      <c r="G569" s="22"/>
      <c r="H569" s="26" t="s">
        <v>22</v>
      </c>
      <c r="I569" s="22" t="s">
        <v>21</v>
      </c>
      <c r="J569" s="327">
        <v>56709</v>
      </c>
      <c r="K569" s="327">
        <v>54057.3</v>
      </c>
      <c r="L569" s="327">
        <v>57003</v>
      </c>
      <c r="M569" s="371">
        <v>65671.6</v>
      </c>
      <c r="N569" s="371">
        <v>62470.7</v>
      </c>
      <c r="O569" s="371">
        <v>66934.9</v>
      </c>
      <c r="P569" s="372">
        <v>66692.7</v>
      </c>
      <c r="Q569" s="371">
        <v>69214.4</v>
      </c>
      <c r="R569" s="371">
        <v>69214.4</v>
      </c>
      <c r="S569" s="371">
        <v>69214.5</v>
      </c>
      <c r="T569" s="371">
        <v>69214.5</v>
      </c>
      <c r="U569" s="371">
        <v>71473.1</v>
      </c>
      <c r="V569" s="371">
        <v>71473.1</v>
      </c>
      <c r="W569" s="229">
        <f t="shared" si="236"/>
        <v>572506.3</v>
      </c>
      <c r="X569" s="22">
        <v>2024</v>
      </c>
      <c r="Y569" s="140">
        <f t="shared" si="231"/>
        <v>-242.2</v>
      </c>
      <c r="Z569" s="141">
        <f t="shared" si="232"/>
        <v>0</v>
      </c>
      <c r="AA569" s="140">
        <f t="shared" si="233"/>
        <v>0</v>
      </c>
      <c r="AB569" s="140">
        <f t="shared" si="234"/>
        <v>0</v>
      </c>
    </row>
    <row r="570" spans="1:28" s="2" customFormat="1" ht="12.75">
      <c r="A570" s="21" t="s">
        <v>19</v>
      </c>
      <c r="B570" s="22">
        <v>1</v>
      </c>
      <c r="C570" s="22">
        <v>9</v>
      </c>
      <c r="D570" s="22">
        <v>1</v>
      </c>
      <c r="E570" s="22">
        <v>0</v>
      </c>
      <c r="F570" s="22">
        <v>1</v>
      </c>
      <c r="G570" s="22"/>
      <c r="H570" s="26" t="s">
        <v>138</v>
      </c>
      <c r="I570" s="22" t="s">
        <v>21</v>
      </c>
      <c r="J570" s="327">
        <v>0</v>
      </c>
      <c r="K570" s="327">
        <v>0</v>
      </c>
      <c r="L570" s="327">
        <v>260.9</v>
      </c>
      <c r="M570" s="371">
        <v>0</v>
      </c>
      <c r="N570" s="371">
        <v>0</v>
      </c>
      <c r="O570" s="371">
        <v>0</v>
      </c>
      <c r="P570" s="373">
        <v>0</v>
      </c>
      <c r="Q570" s="371">
        <v>0</v>
      </c>
      <c r="R570" s="371">
        <v>0</v>
      </c>
      <c r="S570" s="371">
        <v>0</v>
      </c>
      <c r="T570" s="371">
        <v>0</v>
      </c>
      <c r="U570" s="371">
        <v>0</v>
      </c>
      <c r="V570" s="371">
        <v>0</v>
      </c>
      <c r="W570" s="138">
        <f t="shared" si="236"/>
        <v>260.9</v>
      </c>
      <c r="X570" s="22">
        <v>2018</v>
      </c>
      <c r="Y570" s="140">
        <f t="shared" si="231"/>
        <v>-242.2</v>
      </c>
      <c r="Z570" s="141">
        <f t="shared" si="232"/>
        <v>0</v>
      </c>
      <c r="AA570" s="140">
        <f t="shared" si="233"/>
        <v>0</v>
      </c>
      <c r="AB570" s="140">
        <f t="shared" si="234"/>
        <v>0</v>
      </c>
    </row>
    <row r="571" spans="1:28" s="2" customFormat="1" ht="12.75">
      <c r="A571" s="21" t="s">
        <v>19</v>
      </c>
      <c r="B571" s="22">
        <v>1</v>
      </c>
      <c r="C571" s="22">
        <v>9</v>
      </c>
      <c r="D571" s="22">
        <v>2</v>
      </c>
      <c r="E571" s="22">
        <v>0</v>
      </c>
      <c r="F571" s="22">
        <v>0</v>
      </c>
      <c r="G571" s="22"/>
      <c r="H571" s="26" t="s">
        <v>453</v>
      </c>
      <c r="I571" s="22"/>
      <c r="J571" s="138"/>
      <c r="K571" s="138"/>
      <c r="L571" s="138"/>
      <c r="M571" s="91"/>
      <c r="N571" s="91"/>
      <c r="O571" s="91"/>
      <c r="P571" s="366"/>
      <c r="Q571" s="91"/>
      <c r="R571" s="91"/>
      <c r="S571" s="91"/>
      <c r="T571" s="91"/>
      <c r="U571" s="91"/>
      <c r="V571" s="91"/>
      <c r="W571" s="138"/>
      <c r="X571" s="22"/>
      <c r="Y571" s="140">
        <f t="shared" si="231"/>
        <v>0</v>
      </c>
      <c r="Z571" s="141">
        <f t="shared" si="232"/>
        <v>0</v>
      </c>
      <c r="AA571" s="140">
        <f t="shared" si="233"/>
        <v>0</v>
      </c>
      <c r="AB571" s="140">
        <f t="shared" si="234"/>
        <v>0</v>
      </c>
    </row>
    <row r="572" spans="1:28" s="2" customFormat="1" ht="63.75">
      <c r="A572" s="36" t="s">
        <v>19</v>
      </c>
      <c r="B572" s="37">
        <v>1</v>
      </c>
      <c r="C572" s="37">
        <v>9</v>
      </c>
      <c r="D572" s="37">
        <v>2</v>
      </c>
      <c r="E572" s="37">
        <v>0</v>
      </c>
      <c r="F572" s="37">
        <v>1</v>
      </c>
      <c r="G572" s="38"/>
      <c r="H572" s="39" t="s">
        <v>454</v>
      </c>
      <c r="I572" s="38" t="s">
        <v>43</v>
      </c>
      <c r="J572" s="87" t="s">
        <v>44</v>
      </c>
      <c r="K572" s="87" t="s">
        <v>44</v>
      </c>
      <c r="L572" s="87" t="s">
        <v>44</v>
      </c>
      <c r="M572" s="125" t="s">
        <v>44</v>
      </c>
      <c r="N572" s="87" t="s">
        <v>44</v>
      </c>
      <c r="O572" s="87" t="s">
        <v>44</v>
      </c>
      <c r="P572" s="87" t="s">
        <v>44</v>
      </c>
      <c r="Q572" s="125" t="s">
        <v>44</v>
      </c>
      <c r="R572" s="125" t="s">
        <v>44</v>
      </c>
      <c r="S572" s="125" t="s">
        <v>44</v>
      </c>
      <c r="T572" s="125" t="s">
        <v>44</v>
      </c>
      <c r="U572" s="125" t="s">
        <v>44</v>
      </c>
      <c r="V572" s="125" t="s">
        <v>44</v>
      </c>
      <c r="W572" s="87" t="s">
        <v>44</v>
      </c>
      <c r="X572" s="38">
        <v>2024</v>
      </c>
      <c r="Y572" s="140">
        <f t="shared" si="231"/>
        <v>0</v>
      </c>
      <c r="Z572" s="141">
        <f t="shared" si="232"/>
        <v>0</v>
      </c>
      <c r="AA572" s="140">
        <f t="shared" si="233"/>
        <v>0</v>
      </c>
      <c r="AB572" s="140">
        <f t="shared" si="234"/>
        <v>0</v>
      </c>
    </row>
    <row r="573" spans="1:28" ht="51">
      <c r="A573" s="21" t="s">
        <v>19</v>
      </c>
      <c r="B573" s="22">
        <v>1</v>
      </c>
      <c r="C573" s="22">
        <v>9</v>
      </c>
      <c r="D573" s="22">
        <v>2</v>
      </c>
      <c r="E573" s="22">
        <v>0</v>
      </c>
      <c r="F573" s="22">
        <v>1</v>
      </c>
      <c r="G573" s="43"/>
      <c r="H573" s="44" t="s">
        <v>455</v>
      </c>
      <c r="I573" s="43" t="s">
        <v>57</v>
      </c>
      <c r="J573" s="131">
        <v>10</v>
      </c>
      <c r="K573" s="131">
        <v>10</v>
      </c>
      <c r="L573" s="131">
        <v>10</v>
      </c>
      <c r="M573" s="95">
        <v>10</v>
      </c>
      <c r="N573" s="95">
        <v>10</v>
      </c>
      <c r="O573" s="95">
        <v>10</v>
      </c>
      <c r="P573" s="104">
        <v>10</v>
      </c>
      <c r="Q573" s="95">
        <v>10</v>
      </c>
      <c r="R573" s="104">
        <v>10</v>
      </c>
      <c r="S573" s="95">
        <v>10</v>
      </c>
      <c r="T573" s="104">
        <v>10</v>
      </c>
      <c r="U573" s="95">
        <v>10</v>
      </c>
      <c r="V573" s="104">
        <v>10</v>
      </c>
      <c r="W573" s="131">
        <f>J573+K573+L573+M573+N573+P573+R573+T573+V573</f>
        <v>90</v>
      </c>
      <c r="X573" s="43">
        <v>2024</v>
      </c>
      <c r="Y573" s="140"/>
      <c r="Z573" s="141"/>
      <c r="AA573" s="140"/>
      <c r="AB573" s="140"/>
    </row>
    <row r="574" spans="1:28" ht="38.25">
      <c r="A574" s="36" t="s">
        <v>19</v>
      </c>
      <c r="B574" s="37">
        <v>1</v>
      </c>
      <c r="C574" s="37">
        <v>9</v>
      </c>
      <c r="D574" s="37">
        <v>2</v>
      </c>
      <c r="E574" s="37">
        <v>0</v>
      </c>
      <c r="F574" s="37">
        <v>2</v>
      </c>
      <c r="G574" s="38"/>
      <c r="H574" s="39" t="s">
        <v>456</v>
      </c>
      <c r="I574" s="38" t="s">
        <v>43</v>
      </c>
      <c r="J574" s="87" t="s">
        <v>44</v>
      </c>
      <c r="K574" s="87" t="s">
        <v>44</v>
      </c>
      <c r="L574" s="87" t="s">
        <v>44</v>
      </c>
      <c r="M574" s="125" t="s">
        <v>44</v>
      </c>
      <c r="N574" s="87" t="s">
        <v>44</v>
      </c>
      <c r="O574" s="87" t="s">
        <v>44</v>
      </c>
      <c r="P574" s="87" t="s">
        <v>44</v>
      </c>
      <c r="Q574" s="125" t="s">
        <v>44</v>
      </c>
      <c r="R574" s="125" t="s">
        <v>44</v>
      </c>
      <c r="S574" s="125" t="s">
        <v>44</v>
      </c>
      <c r="T574" s="125" t="s">
        <v>44</v>
      </c>
      <c r="U574" s="125" t="s">
        <v>44</v>
      </c>
      <c r="V574" s="125" t="s">
        <v>44</v>
      </c>
      <c r="W574" s="87" t="s">
        <v>44</v>
      </c>
      <c r="X574" s="38">
        <v>2024</v>
      </c>
      <c r="Y574" s="140">
        <f>P573-O573</f>
        <v>0</v>
      </c>
      <c r="Z574" s="141">
        <f>R573-Q573</f>
        <v>0</v>
      </c>
      <c r="AA574" s="140">
        <f>T573-S573</f>
        <v>0</v>
      </c>
      <c r="AB574" s="140">
        <f>V573-U573</f>
        <v>0</v>
      </c>
    </row>
    <row r="575" spans="1:28" ht="38.25">
      <c r="A575" s="21" t="s">
        <v>19</v>
      </c>
      <c r="B575" s="22">
        <v>1</v>
      </c>
      <c r="C575" s="22">
        <v>9</v>
      </c>
      <c r="D575" s="22">
        <v>2</v>
      </c>
      <c r="E575" s="22">
        <v>0</v>
      </c>
      <c r="F575" s="22">
        <v>2</v>
      </c>
      <c r="G575" s="43"/>
      <c r="H575" s="44" t="s">
        <v>457</v>
      </c>
      <c r="I575" s="43" t="s">
        <v>48</v>
      </c>
      <c r="J575" s="131">
        <v>4</v>
      </c>
      <c r="K575" s="131">
        <v>3</v>
      </c>
      <c r="L575" s="131">
        <v>9</v>
      </c>
      <c r="M575" s="95">
        <v>4</v>
      </c>
      <c r="N575" s="95">
        <v>3</v>
      </c>
      <c r="O575" s="95">
        <v>3</v>
      </c>
      <c r="P575" s="104">
        <v>3</v>
      </c>
      <c r="Q575" s="95">
        <v>4</v>
      </c>
      <c r="R575" s="104">
        <v>4</v>
      </c>
      <c r="S575" s="95">
        <v>4</v>
      </c>
      <c r="T575" s="104">
        <v>4</v>
      </c>
      <c r="U575" s="95">
        <v>4</v>
      </c>
      <c r="V575" s="104">
        <v>4</v>
      </c>
      <c r="W575" s="131">
        <f>J575+K575+L575+M575+N575+P575+R575+T575+V575</f>
        <v>38</v>
      </c>
      <c r="X575" s="43">
        <v>2024</v>
      </c>
      <c r="Y575" s="140"/>
      <c r="Z575" s="141"/>
      <c r="AA575" s="140"/>
      <c r="AB575" s="140"/>
    </row>
    <row r="576" spans="1:28" ht="89.25">
      <c r="A576" s="36" t="s">
        <v>19</v>
      </c>
      <c r="B576" s="37">
        <v>1</v>
      </c>
      <c r="C576" s="37">
        <v>9</v>
      </c>
      <c r="D576" s="37">
        <v>2</v>
      </c>
      <c r="E576" s="37">
        <v>0</v>
      </c>
      <c r="F576" s="37">
        <v>3</v>
      </c>
      <c r="G576" s="38"/>
      <c r="H576" s="39" t="s">
        <v>458</v>
      </c>
      <c r="I576" s="38" t="s">
        <v>43</v>
      </c>
      <c r="J576" s="87" t="s">
        <v>44</v>
      </c>
      <c r="K576" s="87" t="s">
        <v>44</v>
      </c>
      <c r="L576" s="87" t="s">
        <v>44</v>
      </c>
      <c r="M576" s="125" t="s">
        <v>44</v>
      </c>
      <c r="N576" s="87" t="s">
        <v>44</v>
      </c>
      <c r="O576" s="87" t="s">
        <v>44</v>
      </c>
      <c r="P576" s="87" t="s">
        <v>44</v>
      </c>
      <c r="Q576" s="125" t="s">
        <v>44</v>
      </c>
      <c r="R576" s="125" t="s">
        <v>44</v>
      </c>
      <c r="S576" s="125" t="s">
        <v>44</v>
      </c>
      <c r="T576" s="125" t="s">
        <v>44</v>
      </c>
      <c r="U576" s="125" t="s">
        <v>44</v>
      </c>
      <c r="V576" s="125" t="s">
        <v>44</v>
      </c>
      <c r="W576" s="87" t="s">
        <v>44</v>
      </c>
      <c r="X576" s="38">
        <v>2024</v>
      </c>
      <c r="Y576" s="140">
        <f>P575-O575</f>
        <v>0</v>
      </c>
      <c r="Z576" s="141">
        <f>R575-Q575</f>
        <v>0</v>
      </c>
      <c r="AA576" s="140">
        <f>T575-S575</f>
        <v>0</v>
      </c>
      <c r="AB576" s="140">
        <f>V575-U575</f>
        <v>0</v>
      </c>
    </row>
    <row r="577" spans="1:28" ht="96" customHeight="1">
      <c r="A577" s="21" t="s">
        <v>19</v>
      </c>
      <c r="B577" s="22">
        <v>1</v>
      </c>
      <c r="C577" s="22">
        <v>9</v>
      </c>
      <c r="D577" s="22">
        <v>2</v>
      </c>
      <c r="E577" s="22">
        <v>0</v>
      </c>
      <c r="F577" s="22">
        <v>3</v>
      </c>
      <c r="G577" s="43"/>
      <c r="H577" s="44" t="s">
        <v>459</v>
      </c>
      <c r="I577" s="43" t="s">
        <v>57</v>
      </c>
      <c r="J577" s="131">
        <v>25</v>
      </c>
      <c r="K577" s="131">
        <v>25</v>
      </c>
      <c r="L577" s="93">
        <v>45</v>
      </c>
      <c r="M577" s="93">
        <v>45</v>
      </c>
      <c r="N577" s="131">
        <v>33</v>
      </c>
      <c r="O577" s="95">
        <v>25</v>
      </c>
      <c r="P577" s="104">
        <v>25</v>
      </c>
      <c r="Q577" s="95">
        <v>25</v>
      </c>
      <c r="R577" s="104">
        <v>25</v>
      </c>
      <c r="S577" s="95">
        <v>25</v>
      </c>
      <c r="T577" s="104">
        <v>25</v>
      </c>
      <c r="U577" s="95">
        <v>25</v>
      </c>
      <c r="V577" s="104">
        <v>25</v>
      </c>
      <c r="W577" s="131">
        <f>J577+K577+L577+M577+N577+P577+R577+T577+V577</f>
        <v>273</v>
      </c>
      <c r="X577" s="43">
        <v>2024</v>
      </c>
      <c r="Y577" s="140"/>
      <c r="Z577" s="141"/>
      <c r="AA577" s="140"/>
      <c r="AB577" s="140"/>
    </row>
    <row r="578" spans="1:28" ht="37.5" customHeight="1">
      <c r="A578" s="18"/>
      <c r="B578" s="18"/>
      <c r="C578" s="18"/>
      <c r="D578" s="18"/>
      <c r="E578" s="18"/>
      <c r="F578" s="18"/>
      <c r="G578" s="18"/>
      <c r="H578" s="375"/>
      <c r="I578" s="380"/>
      <c r="J578" s="381"/>
      <c r="K578" s="381"/>
      <c r="M578" s="382"/>
      <c r="N578" s="382"/>
      <c r="O578" s="382"/>
      <c r="P578" s="383"/>
      <c r="Q578" s="382"/>
      <c r="R578" s="383"/>
      <c r="S578" s="382"/>
      <c r="T578" s="383"/>
      <c r="U578" s="382"/>
      <c r="V578" s="383"/>
      <c r="W578" s="381"/>
      <c r="X578" s="380"/>
      <c r="Y578" s="140">
        <f>P577-O577</f>
        <v>0</v>
      </c>
      <c r="Z578" s="141">
        <f>R577-Q577</f>
        <v>0</v>
      </c>
      <c r="AA578" s="140">
        <f>T577-S577</f>
        <v>0</v>
      </c>
      <c r="AB578" s="140">
        <f>V577-U577</f>
        <v>0</v>
      </c>
    </row>
    <row r="579" spans="1:24" ht="12.75">
      <c r="A579" s="18"/>
      <c r="B579" s="18"/>
      <c r="C579" s="18"/>
      <c r="D579" s="18"/>
      <c r="E579" s="18"/>
      <c r="F579" s="18"/>
      <c r="G579" s="18"/>
      <c r="H579" s="376"/>
      <c r="I579" s="380"/>
      <c r="J579" s="381"/>
      <c r="K579" s="381"/>
      <c r="L579" s="381"/>
      <c r="M579" s="382"/>
      <c r="N579" s="382"/>
      <c r="O579" s="382"/>
      <c r="P579" s="383"/>
      <c r="Q579" s="382"/>
      <c r="R579" s="383"/>
      <c r="S579" s="382"/>
      <c r="T579" s="383"/>
      <c r="U579" s="382"/>
      <c r="V579" s="383"/>
      <c r="X579" s="139"/>
    </row>
    <row r="580" spans="1:24" ht="15.75">
      <c r="A580" s="411"/>
      <c r="B580" s="411"/>
      <c r="C580" s="411"/>
      <c r="D580" s="411"/>
      <c r="E580" s="411"/>
      <c r="F580" s="411"/>
      <c r="G580" s="411"/>
      <c r="H580" s="376"/>
      <c r="I580" s="384"/>
      <c r="J580" s="380"/>
      <c r="K580" s="380"/>
      <c r="L580" s="385"/>
      <c r="M580" s="382"/>
      <c r="N580" s="382"/>
      <c r="O580" s="382"/>
      <c r="P580" s="383"/>
      <c r="Q580" s="382"/>
      <c r="R580" s="383"/>
      <c r="S580" s="382"/>
      <c r="T580" s="383"/>
      <c r="U580" s="382"/>
      <c r="V580" s="383"/>
      <c r="X580" s="139"/>
    </row>
    <row r="581" spans="1:24" ht="15.75">
      <c r="A581" s="411"/>
      <c r="B581" s="411"/>
      <c r="C581" s="411"/>
      <c r="D581" s="411"/>
      <c r="E581" s="411"/>
      <c r="F581" s="411"/>
      <c r="G581" s="411"/>
      <c r="H581" s="377"/>
      <c r="I581" s="384"/>
      <c r="J581" s="380"/>
      <c r="K581" s="380"/>
      <c r="L581" s="381"/>
      <c r="M581" s="386"/>
      <c r="N581" s="386"/>
      <c r="O581" s="386"/>
      <c r="P581" s="387"/>
      <c r="Q581" s="386"/>
      <c r="R581" s="387"/>
      <c r="S581" s="386"/>
      <c r="T581" s="387"/>
      <c r="U581" s="386"/>
      <c r="V581" s="387"/>
      <c r="X581" s="139"/>
    </row>
    <row r="582" spans="1:24" ht="12.75">
      <c r="A582" s="378"/>
      <c r="B582" s="378"/>
      <c r="C582" s="378"/>
      <c r="D582" s="378"/>
      <c r="E582" s="378"/>
      <c r="F582" s="378"/>
      <c r="G582" s="379"/>
      <c r="H582" s="377"/>
      <c r="I582" s="384"/>
      <c r="J582" s="380"/>
      <c r="K582" s="380"/>
      <c r="L582" s="381"/>
      <c r="M582" s="386"/>
      <c r="N582" s="386"/>
      <c r="O582" s="386"/>
      <c r="P582" s="387"/>
      <c r="Q582" s="386"/>
      <c r="R582" s="387"/>
      <c r="S582" s="386"/>
      <c r="T582" s="387"/>
      <c r="U582" s="386"/>
      <c r="V582" s="387"/>
      <c r="X582" s="139"/>
    </row>
    <row r="583" spans="1:24" ht="12.75">
      <c r="A583" s="378"/>
      <c r="B583" s="378"/>
      <c r="C583" s="378"/>
      <c r="D583" s="378"/>
      <c r="E583" s="378"/>
      <c r="F583" s="378"/>
      <c r="G583" s="379"/>
      <c r="H583" s="377"/>
      <c r="I583" s="384"/>
      <c r="J583" s="380"/>
      <c r="K583" s="380"/>
      <c r="M583" s="386"/>
      <c r="N583" s="386"/>
      <c r="O583" s="386"/>
      <c r="P583" s="387"/>
      <c r="Q583" s="386"/>
      <c r="R583" s="387"/>
      <c r="S583" s="386"/>
      <c r="T583" s="387"/>
      <c r="U583" s="386"/>
      <c r="V583" s="387"/>
      <c r="X583" s="139"/>
    </row>
    <row r="584" ht="12.75">
      <c r="X584" s="139"/>
    </row>
    <row r="585" spans="12:24" ht="12.75">
      <c r="L585" s="380"/>
      <c r="X585" s="139"/>
    </row>
    <row r="586" spans="12:24" ht="12.75">
      <c r="L586" s="380"/>
      <c r="X586" s="139"/>
    </row>
    <row r="587" ht="12.75">
      <c r="X587" s="139"/>
    </row>
    <row r="588" ht="12.75">
      <c r="X588" s="139"/>
    </row>
    <row r="589" ht="12.75">
      <c r="X589" s="139"/>
    </row>
    <row r="590" ht="12.75">
      <c r="X590" s="139"/>
    </row>
    <row r="591" ht="12.75">
      <c r="X591" s="139"/>
    </row>
    <row r="592" ht="12.75">
      <c r="X592" s="139"/>
    </row>
    <row r="593" ht="12.75">
      <c r="X593" s="139"/>
    </row>
    <row r="594" ht="12.75">
      <c r="X594" s="139"/>
    </row>
    <row r="595" ht="12.75">
      <c r="X595" s="139"/>
    </row>
    <row r="596" ht="12.75">
      <c r="X596" s="139"/>
    </row>
    <row r="597" ht="12.75">
      <c r="X597" s="139"/>
    </row>
    <row r="598" ht="12.75">
      <c r="X598" s="139"/>
    </row>
    <row r="599" ht="12.75">
      <c r="X599" s="139"/>
    </row>
    <row r="600" ht="12.75">
      <c r="X600" s="139"/>
    </row>
    <row r="601" ht="12.75">
      <c r="X601" s="139"/>
    </row>
    <row r="602" ht="12.75">
      <c r="X602" s="139"/>
    </row>
    <row r="603" ht="12.75">
      <c r="X603" s="139"/>
    </row>
    <row r="604" ht="12.75">
      <c r="X604" s="139"/>
    </row>
    <row r="605" ht="12.75">
      <c r="X605" s="139"/>
    </row>
    <row r="606" spans="23:24" ht="12.75">
      <c r="W606" s="139"/>
      <c r="X606" s="139"/>
    </row>
    <row r="607" spans="23:24" ht="12.75">
      <c r="W607" s="139"/>
      <c r="X607" s="139"/>
    </row>
    <row r="608" spans="23:24" ht="12.75">
      <c r="W608" s="139"/>
      <c r="X608" s="139"/>
    </row>
    <row r="609" spans="23:24" ht="12.75">
      <c r="W609" s="139"/>
      <c r="X609" s="139"/>
    </row>
    <row r="610" spans="23:24" ht="12.75">
      <c r="W610" s="139"/>
      <c r="X610" s="139"/>
    </row>
    <row r="611" spans="23:24" ht="12.75">
      <c r="W611" s="139"/>
      <c r="X611" s="139"/>
    </row>
    <row r="612" spans="23:24" ht="12.75">
      <c r="W612" s="139"/>
      <c r="X612" s="139"/>
    </row>
    <row r="613" spans="23:24" ht="12.75">
      <c r="W613" s="139"/>
      <c r="X613" s="139"/>
    </row>
    <row r="614" spans="23:24" ht="12.75">
      <c r="W614" s="139"/>
      <c r="X614" s="139"/>
    </row>
    <row r="615" spans="23:24" ht="12.75">
      <c r="W615" s="139"/>
      <c r="X615" s="139"/>
    </row>
    <row r="616" spans="23:24" ht="12.75">
      <c r="W616" s="139"/>
      <c r="X616" s="139"/>
    </row>
    <row r="617" spans="23:24" ht="12.75">
      <c r="W617" s="139"/>
      <c r="X617" s="139"/>
    </row>
    <row r="618" spans="23:24" ht="12.75">
      <c r="W618" s="139"/>
      <c r="X618" s="139"/>
    </row>
    <row r="619" spans="23:24" ht="12.75">
      <c r="W619" s="139"/>
      <c r="X619" s="139"/>
    </row>
    <row r="620" spans="23:24" ht="12.75">
      <c r="W620" s="139"/>
      <c r="X620" s="139"/>
    </row>
    <row r="621" spans="23:24" ht="12.75">
      <c r="W621" s="139"/>
      <c r="X621" s="139"/>
    </row>
    <row r="622" spans="23:24" ht="12.75">
      <c r="W622" s="139"/>
      <c r="X622" s="139"/>
    </row>
    <row r="623" spans="23:24" ht="12.75">
      <c r="W623" s="139"/>
      <c r="X623" s="139"/>
    </row>
    <row r="624" spans="23:24" ht="12.75">
      <c r="W624" s="139"/>
      <c r="X624" s="139"/>
    </row>
    <row r="625" spans="23:24" ht="12.75">
      <c r="W625" s="139"/>
      <c r="X625" s="139"/>
    </row>
    <row r="626" spans="23:24" ht="12.75">
      <c r="W626" s="139"/>
      <c r="X626" s="139"/>
    </row>
    <row r="627" spans="23:24" ht="12.75">
      <c r="W627" s="139"/>
      <c r="X627" s="139"/>
    </row>
    <row r="628" spans="23:24" ht="12.75">
      <c r="W628" s="139"/>
      <c r="X628" s="139"/>
    </row>
    <row r="629" spans="23:24" ht="12.75">
      <c r="W629" s="139"/>
      <c r="X629" s="139"/>
    </row>
    <row r="630" spans="23:24" ht="12.75">
      <c r="W630" s="139"/>
      <c r="X630" s="139"/>
    </row>
    <row r="631" spans="23:24" ht="12.75">
      <c r="W631" s="139"/>
      <c r="X631" s="139"/>
    </row>
    <row r="632" spans="23:24" ht="12.75">
      <c r="W632" s="139"/>
      <c r="X632" s="139"/>
    </row>
    <row r="633" spans="23:24" ht="12.75">
      <c r="W633" s="139"/>
      <c r="X633" s="139"/>
    </row>
    <row r="634" spans="23:24" ht="12.75">
      <c r="W634" s="139"/>
      <c r="X634" s="139"/>
    </row>
    <row r="635" spans="23:24" ht="12.75">
      <c r="W635" s="139"/>
      <c r="X635" s="139"/>
    </row>
    <row r="636" spans="23:24" ht="12.75">
      <c r="W636" s="139"/>
      <c r="X636" s="139"/>
    </row>
    <row r="637" spans="23:24" ht="12.75">
      <c r="W637" s="139"/>
      <c r="X637" s="139"/>
    </row>
    <row r="638" spans="23:24" ht="12.75">
      <c r="W638" s="139"/>
      <c r="X638" s="139"/>
    </row>
    <row r="639" spans="23:24" ht="12.75">
      <c r="W639" s="139"/>
      <c r="X639" s="139"/>
    </row>
    <row r="640" spans="23:24" ht="12.75">
      <c r="W640" s="139"/>
      <c r="X640" s="139"/>
    </row>
    <row r="641" spans="23:24" ht="12.75">
      <c r="W641" s="139"/>
      <c r="X641" s="139"/>
    </row>
    <row r="642" spans="23:24" ht="12.75">
      <c r="W642" s="139"/>
      <c r="X642" s="139"/>
    </row>
    <row r="643" spans="23:24" ht="12.75">
      <c r="W643" s="139"/>
      <c r="X643" s="139"/>
    </row>
    <row r="644" spans="23:24" ht="12.75">
      <c r="W644" s="139"/>
      <c r="X644" s="139"/>
    </row>
    <row r="645" spans="23:24" ht="12.75">
      <c r="W645" s="139"/>
      <c r="X645" s="139"/>
    </row>
    <row r="646" spans="23:24" ht="12.75">
      <c r="W646" s="139"/>
      <c r="X646" s="139"/>
    </row>
    <row r="647" spans="23:24" ht="12.75">
      <c r="W647" s="139"/>
      <c r="X647" s="139"/>
    </row>
    <row r="648" spans="23:24" ht="12.75">
      <c r="W648" s="139"/>
      <c r="X648" s="139"/>
    </row>
    <row r="649" spans="23:24" ht="12.75">
      <c r="W649" s="139"/>
      <c r="X649" s="139"/>
    </row>
    <row r="650" spans="23:24" ht="12.75">
      <c r="W650" s="139"/>
      <c r="X650" s="139"/>
    </row>
    <row r="651" spans="23:24" ht="12.75">
      <c r="W651" s="139"/>
      <c r="X651" s="139"/>
    </row>
    <row r="652" spans="23:24" ht="12.75">
      <c r="W652" s="139"/>
      <c r="X652" s="139"/>
    </row>
    <row r="653" spans="23:24" ht="12.75">
      <c r="W653" s="139"/>
      <c r="X653" s="139"/>
    </row>
    <row r="654" spans="23:24" ht="12.75">
      <c r="W654" s="139"/>
      <c r="X654" s="139"/>
    </row>
    <row r="655" spans="23:24" ht="12.75">
      <c r="W655" s="139"/>
      <c r="X655" s="139"/>
    </row>
    <row r="656" spans="23:24" ht="12.75">
      <c r="W656" s="139"/>
      <c r="X656" s="139"/>
    </row>
    <row r="657" spans="23:24" ht="12.75">
      <c r="W657" s="139"/>
      <c r="X657" s="139"/>
    </row>
    <row r="658" spans="23:24" ht="12.75">
      <c r="W658" s="139"/>
      <c r="X658" s="139"/>
    </row>
    <row r="659" spans="23:24" ht="12.75">
      <c r="W659" s="139"/>
      <c r="X659" s="139"/>
    </row>
    <row r="660" spans="23:24" ht="12.75">
      <c r="W660" s="139"/>
      <c r="X660" s="139"/>
    </row>
    <row r="661" spans="23:24" ht="12.75">
      <c r="W661" s="139"/>
      <c r="X661" s="139"/>
    </row>
    <row r="662" spans="23:24" ht="12.75">
      <c r="W662" s="139"/>
      <c r="X662" s="139"/>
    </row>
    <row r="663" spans="23:24" ht="12.75">
      <c r="W663" s="139"/>
      <c r="X663" s="139"/>
    </row>
    <row r="664" spans="23:24" ht="12.75">
      <c r="W664" s="139"/>
      <c r="X664" s="139"/>
    </row>
    <row r="665" spans="23:24" ht="12.75">
      <c r="W665" s="139"/>
      <c r="X665" s="139"/>
    </row>
    <row r="666" spans="23:24" ht="12.75">
      <c r="W666" s="139"/>
      <c r="X666" s="139"/>
    </row>
    <row r="667" spans="23:24" ht="12.75">
      <c r="W667" s="139"/>
      <c r="X667" s="139"/>
    </row>
    <row r="668" spans="23:24" ht="12.75">
      <c r="W668" s="139"/>
      <c r="X668" s="139"/>
    </row>
    <row r="669" spans="23:24" ht="12.75">
      <c r="W669" s="139"/>
      <c r="X669" s="139"/>
    </row>
    <row r="670" spans="23:24" ht="12.75">
      <c r="W670" s="139"/>
      <c r="X670" s="139"/>
    </row>
    <row r="671" spans="23:24" ht="12.75">
      <c r="W671" s="139"/>
      <c r="X671" s="139"/>
    </row>
    <row r="672" spans="23:24" ht="12.75">
      <c r="W672" s="139"/>
      <c r="X672" s="139"/>
    </row>
    <row r="673" spans="23:24" ht="12.75">
      <c r="W673" s="139"/>
      <c r="X673" s="139"/>
    </row>
    <row r="674" spans="23:24" ht="12.75">
      <c r="W674" s="139"/>
      <c r="X674" s="139"/>
    </row>
    <row r="675" spans="23:24" ht="12.75">
      <c r="W675" s="139"/>
      <c r="X675" s="139"/>
    </row>
    <row r="676" spans="23:24" ht="12.75">
      <c r="W676" s="139"/>
      <c r="X676" s="139"/>
    </row>
    <row r="677" spans="23:24" ht="12.75">
      <c r="W677" s="139"/>
      <c r="X677" s="139"/>
    </row>
    <row r="678" spans="23:24" ht="12.75">
      <c r="W678" s="139"/>
      <c r="X678" s="139"/>
    </row>
    <row r="679" spans="23:24" ht="12.75">
      <c r="W679" s="139"/>
      <c r="X679" s="139"/>
    </row>
    <row r="680" spans="23:24" ht="12.75">
      <c r="W680" s="139"/>
      <c r="X680" s="139"/>
    </row>
    <row r="681" spans="23:24" ht="12.75">
      <c r="W681" s="139"/>
      <c r="X681" s="139"/>
    </row>
    <row r="682" spans="23:24" ht="12.75">
      <c r="W682" s="139"/>
      <c r="X682" s="139"/>
    </row>
    <row r="683" spans="23:24" ht="12.75">
      <c r="W683" s="139"/>
      <c r="X683" s="139"/>
    </row>
    <row r="684" spans="23:24" ht="12.75">
      <c r="W684" s="139"/>
      <c r="X684" s="139"/>
    </row>
    <row r="685" spans="23:24" ht="12.75">
      <c r="W685" s="139"/>
      <c r="X685" s="139"/>
    </row>
    <row r="686" spans="23:24" ht="12.75">
      <c r="W686" s="139"/>
      <c r="X686" s="139"/>
    </row>
    <row r="687" spans="23:24" ht="12.75">
      <c r="W687" s="139"/>
      <c r="X687" s="139"/>
    </row>
    <row r="688" spans="23:24" ht="12.75">
      <c r="W688" s="139"/>
      <c r="X688" s="139"/>
    </row>
    <row r="689" spans="23:24" ht="12.75">
      <c r="W689" s="139"/>
      <c r="X689" s="139"/>
    </row>
    <row r="690" spans="23:24" ht="12.75">
      <c r="W690" s="139"/>
      <c r="X690" s="139"/>
    </row>
    <row r="691" spans="23:24" ht="12.75">
      <c r="W691" s="139"/>
      <c r="X691" s="139"/>
    </row>
    <row r="692" spans="23:24" ht="12.75">
      <c r="W692" s="139"/>
      <c r="X692" s="139"/>
    </row>
    <row r="693" spans="23:24" ht="12.75">
      <c r="W693" s="139"/>
      <c r="X693" s="139"/>
    </row>
    <row r="694" spans="23:24" ht="12.75">
      <c r="W694" s="139"/>
      <c r="X694" s="139"/>
    </row>
    <row r="695" spans="23:24" ht="12.75">
      <c r="W695" s="139"/>
      <c r="X695" s="139"/>
    </row>
    <row r="696" spans="23:24" ht="12.75">
      <c r="W696" s="139"/>
      <c r="X696" s="139"/>
    </row>
    <row r="697" spans="23:24" ht="12.75">
      <c r="W697" s="139"/>
      <c r="X697" s="139"/>
    </row>
    <row r="698" spans="23:24" ht="12.75">
      <c r="W698" s="139"/>
      <c r="X698" s="139"/>
    </row>
    <row r="699" spans="23:24" ht="12.75">
      <c r="W699" s="139"/>
      <c r="X699" s="139"/>
    </row>
    <row r="700" spans="23:24" ht="12.75">
      <c r="W700" s="139"/>
      <c r="X700" s="139"/>
    </row>
    <row r="701" spans="23:24" ht="12.75">
      <c r="W701" s="139"/>
      <c r="X701" s="139"/>
    </row>
    <row r="702" spans="23:24" ht="12.75">
      <c r="W702" s="139"/>
      <c r="X702" s="139"/>
    </row>
    <row r="703" spans="23:24" ht="12.75">
      <c r="W703" s="139"/>
      <c r="X703" s="139"/>
    </row>
    <row r="704" spans="23:24" ht="12.75">
      <c r="W704" s="139"/>
      <c r="X704" s="139"/>
    </row>
    <row r="705" spans="23:24" ht="12.75">
      <c r="W705" s="139"/>
      <c r="X705" s="139"/>
    </row>
    <row r="706" spans="23:24" ht="12.75">
      <c r="W706" s="139"/>
      <c r="X706" s="139"/>
    </row>
    <row r="707" spans="23:24" ht="12.75">
      <c r="W707" s="139"/>
      <c r="X707" s="139"/>
    </row>
    <row r="708" spans="23:24" ht="12.75">
      <c r="W708" s="139"/>
      <c r="X708" s="139"/>
    </row>
    <row r="709" spans="23:24" ht="12.75">
      <c r="W709" s="139"/>
      <c r="X709" s="139"/>
    </row>
    <row r="710" spans="23:24" ht="12.75">
      <c r="W710" s="139"/>
      <c r="X710" s="139"/>
    </row>
    <row r="711" spans="23:24" ht="12.75">
      <c r="W711" s="139"/>
      <c r="X711" s="139"/>
    </row>
    <row r="712" spans="23:24" ht="12.75">
      <c r="W712" s="139"/>
      <c r="X712" s="139"/>
    </row>
    <row r="713" spans="23:24" ht="12.75">
      <c r="W713" s="139"/>
      <c r="X713" s="139"/>
    </row>
    <row r="714" ht="12.75">
      <c r="X714" s="388"/>
    </row>
    <row r="715" ht="12.75">
      <c r="X715" s="388"/>
    </row>
    <row r="716" ht="12.75">
      <c r="X716" s="388"/>
    </row>
    <row r="717" ht="12.75">
      <c r="X717" s="388"/>
    </row>
    <row r="718" ht="12.75">
      <c r="X718" s="388"/>
    </row>
    <row r="719" ht="12.75">
      <c r="X719" s="388"/>
    </row>
    <row r="720" ht="12.75">
      <c r="X720" s="388"/>
    </row>
    <row r="721" ht="12.75">
      <c r="X721" s="388"/>
    </row>
    <row r="722" ht="12.75">
      <c r="X722" s="388"/>
    </row>
    <row r="723" ht="12.75">
      <c r="X723" s="388"/>
    </row>
    <row r="724" ht="12.75">
      <c r="X724" s="388"/>
    </row>
    <row r="725" ht="12.75">
      <c r="X725" s="388"/>
    </row>
    <row r="726" ht="12.75">
      <c r="X726" s="388"/>
    </row>
    <row r="727" ht="12.75">
      <c r="X727" s="388"/>
    </row>
    <row r="728" ht="12.75">
      <c r="X728" s="388"/>
    </row>
    <row r="729" ht="12.75">
      <c r="X729" s="388"/>
    </row>
    <row r="730" ht="12.75">
      <c r="X730" s="388"/>
    </row>
    <row r="731" ht="12.75">
      <c r="X731" s="388"/>
    </row>
    <row r="732" ht="12.75">
      <c r="X732" s="388"/>
    </row>
    <row r="733" ht="12.75">
      <c r="X733" s="388"/>
    </row>
    <row r="734" ht="12.75">
      <c r="X734" s="388"/>
    </row>
    <row r="735" ht="12.75">
      <c r="X735" s="388"/>
    </row>
    <row r="736" ht="12.75">
      <c r="X736" s="388"/>
    </row>
    <row r="737" ht="12.75">
      <c r="X737" s="388"/>
    </row>
    <row r="738" ht="12.75">
      <c r="X738" s="388"/>
    </row>
    <row r="739" ht="12.75">
      <c r="X739" s="388"/>
    </row>
    <row r="740" ht="12.75">
      <c r="X740" s="388"/>
    </row>
    <row r="741" ht="12.75">
      <c r="X741" s="388"/>
    </row>
    <row r="742" ht="12.75">
      <c r="X742" s="388"/>
    </row>
    <row r="743" ht="12.75">
      <c r="X743" s="388"/>
    </row>
    <row r="744" ht="12.75">
      <c r="X744" s="388"/>
    </row>
    <row r="745" ht="12.75">
      <c r="X745" s="388"/>
    </row>
    <row r="746" ht="12.75">
      <c r="X746" s="388"/>
    </row>
    <row r="747" ht="12.75">
      <c r="X747" s="388"/>
    </row>
    <row r="748" ht="12.75">
      <c r="X748" s="388"/>
    </row>
    <row r="749" ht="12.75">
      <c r="X749" s="388"/>
    </row>
    <row r="750" ht="12.75">
      <c r="X750" s="388"/>
    </row>
    <row r="751" ht="12.75">
      <c r="X751" s="388"/>
    </row>
    <row r="752" ht="12.75">
      <c r="X752" s="388"/>
    </row>
    <row r="753" ht="12.75">
      <c r="X753" s="388"/>
    </row>
    <row r="754" ht="12.75">
      <c r="X754" s="388"/>
    </row>
    <row r="755" ht="12.75">
      <c r="X755" s="388"/>
    </row>
    <row r="756" ht="12.75">
      <c r="X756" s="388"/>
    </row>
    <row r="757" ht="12.75">
      <c r="X757" s="388"/>
    </row>
    <row r="758" ht="12.75">
      <c r="X758" s="388"/>
    </row>
    <row r="759" ht="12.75">
      <c r="X759" s="388"/>
    </row>
    <row r="760" ht="12.75">
      <c r="X760" s="388"/>
    </row>
    <row r="761" ht="12.75">
      <c r="X761" s="388"/>
    </row>
    <row r="762" ht="12.75">
      <c r="X762" s="388"/>
    </row>
    <row r="763" ht="12.75">
      <c r="X763" s="388"/>
    </row>
    <row r="764" ht="12.75">
      <c r="X764" s="388"/>
    </row>
    <row r="765" ht="12.75">
      <c r="X765" s="388"/>
    </row>
    <row r="766" ht="12.75">
      <c r="X766" s="388"/>
    </row>
    <row r="767" ht="12.75">
      <c r="X767" s="388"/>
    </row>
    <row r="768" ht="12.75">
      <c r="X768" s="388"/>
    </row>
    <row r="769" ht="12.75">
      <c r="X769" s="388"/>
    </row>
    <row r="770" ht="12.75">
      <c r="X770" s="388"/>
    </row>
    <row r="771" ht="12.75">
      <c r="X771" s="388"/>
    </row>
    <row r="772" ht="12.75">
      <c r="X772" s="388"/>
    </row>
    <row r="773" ht="12.75">
      <c r="X773" s="388"/>
    </row>
    <row r="774" ht="12.75">
      <c r="X774" s="388"/>
    </row>
    <row r="775" ht="12.75">
      <c r="X775" s="388"/>
    </row>
    <row r="776" ht="12.75">
      <c r="X776" s="388"/>
    </row>
    <row r="777" ht="12.75">
      <c r="X777" s="388"/>
    </row>
    <row r="778" ht="12.75">
      <c r="X778" s="388"/>
    </row>
    <row r="779" ht="12.75">
      <c r="X779" s="388"/>
    </row>
    <row r="780" ht="12.75">
      <c r="X780" s="388"/>
    </row>
    <row r="781" ht="12.75">
      <c r="X781" s="388"/>
    </row>
    <row r="782" ht="12.75">
      <c r="X782" s="388"/>
    </row>
    <row r="783" ht="12.75">
      <c r="X783" s="388"/>
    </row>
    <row r="784" ht="12.75">
      <c r="X784" s="388"/>
    </row>
    <row r="785" ht="12.75">
      <c r="X785" s="388"/>
    </row>
    <row r="786" ht="12.75">
      <c r="X786" s="388"/>
    </row>
    <row r="787" ht="12.75">
      <c r="X787" s="388"/>
    </row>
    <row r="788" ht="12.75">
      <c r="X788" s="388"/>
    </row>
    <row r="789" ht="12.75">
      <c r="X789" s="388"/>
    </row>
    <row r="790" ht="12.75">
      <c r="X790" s="388"/>
    </row>
    <row r="791" ht="12.75">
      <c r="X791" s="388"/>
    </row>
    <row r="792" ht="12.75">
      <c r="X792" s="388"/>
    </row>
    <row r="793" ht="12.75">
      <c r="X793" s="388"/>
    </row>
    <row r="794" ht="12.75">
      <c r="X794" s="388"/>
    </row>
    <row r="795" ht="12.75">
      <c r="X795" s="388"/>
    </row>
    <row r="796" ht="12.75">
      <c r="X796" s="388"/>
    </row>
    <row r="797" ht="12.75">
      <c r="X797" s="388"/>
    </row>
    <row r="798" ht="12.75">
      <c r="X798" s="388"/>
    </row>
    <row r="799" ht="12.75">
      <c r="X799" s="388"/>
    </row>
    <row r="800" ht="12.75">
      <c r="X800" s="388"/>
    </row>
    <row r="801" ht="12.75">
      <c r="X801" s="388"/>
    </row>
    <row r="802" ht="12.75">
      <c r="X802" s="388"/>
    </row>
    <row r="803" ht="12.75">
      <c r="X803" s="388"/>
    </row>
    <row r="804" ht="12.75">
      <c r="X804" s="388"/>
    </row>
    <row r="805" ht="12.75">
      <c r="X805" s="388"/>
    </row>
    <row r="806" ht="12.75">
      <c r="X806" s="388"/>
    </row>
    <row r="807" ht="12.75">
      <c r="X807" s="388"/>
    </row>
    <row r="808" ht="12.75">
      <c r="X808" s="388"/>
    </row>
    <row r="809" ht="12.75">
      <c r="X809" s="388"/>
    </row>
    <row r="810" ht="12.75">
      <c r="X810" s="388"/>
    </row>
    <row r="811" ht="12.75">
      <c r="X811" s="388"/>
    </row>
    <row r="812" ht="12.75">
      <c r="X812" s="388"/>
    </row>
    <row r="813" ht="12.75">
      <c r="X813" s="388"/>
    </row>
    <row r="814" ht="12.75">
      <c r="X814" s="388"/>
    </row>
    <row r="815" ht="12.75">
      <c r="X815" s="388"/>
    </row>
    <row r="816" ht="12.75">
      <c r="X816" s="388"/>
    </row>
    <row r="817" ht="12.75">
      <c r="X817" s="388"/>
    </row>
    <row r="818" ht="12.75">
      <c r="X818" s="388"/>
    </row>
    <row r="819" ht="12.75">
      <c r="X819" s="388"/>
    </row>
    <row r="820" ht="12.75">
      <c r="X820" s="388"/>
    </row>
    <row r="821" ht="12.75">
      <c r="X821" s="388"/>
    </row>
    <row r="822" ht="12.75">
      <c r="X822" s="388"/>
    </row>
    <row r="823" ht="12.75">
      <c r="X823" s="388"/>
    </row>
    <row r="824" ht="12.75">
      <c r="X824" s="388"/>
    </row>
    <row r="825" ht="12.75">
      <c r="X825" s="388"/>
    </row>
    <row r="826" ht="12.75">
      <c r="X826" s="388"/>
    </row>
    <row r="827" ht="12.75">
      <c r="X827" s="388"/>
    </row>
    <row r="828" ht="12.75">
      <c r="X828" s="388"/>
    </row>
    <row r="829" ht="12.75">
      <c r="X829" s="388"/>
    </row>
    <row r="830" ht="12.75">
      <c r="X830" s="388"/>
    </row>
    <row r="831" ht="12.75">
      <c r="X831" s="388"/>
    </row>
    <row r="832" ht="12.75">
      <c r="X832" s="388"/>
    </row>
    <row r="833" ht="12.75">
      <c r="X833" s="388"/>
    </row>
    <row r="834" ht="12.75">
      <c r="X834" s="388"/>
    </row>
    <row r="835" ht="12.75">
      <c r="X835" s="388"/>
    </row>
    <row r="836" ht="12.75">
      <c r="X836" s="388"/>
    </row>
    <row r="837" ht="12.75">
      <c r="X837" s="388"/>
    </row>
    <row r="838" ht="12.75">
      <c r="X838" s="388"/>
    </row>
    <row r="839" ht="12.75">
      <c r="X839" s="388"/>
    </row>
    <row r="840" ht="12.75">
      <c r="X840" s="388"/>
    </row>
    <row r="841" ht="12.75">
      <c r="X841" s="388"/>
    </row>
    <row r="842" ht="12.75">
      <c r="X842" s="388"/>
    </row>
    <row r="843" ht="12.75">
      <c r="X843" s="388"/>
    </row>
    <row r="844" ht="12.75">
      <c r="X844" s="388"/>
    </row>
    <row r="845" ht="12.75">
      <c r="X845" s="388"/>
    </row>
    <row r="846" ht="12.75">
      <c r="X846" s="388"/>
    </row>
    <row r="847" ht="12.75">
      <c r="X847" s="388"/>
    </row>
    <row r="848" ht="12.75">
      <c r="X848" s="388"/>
    </row>
    <row r="849" ht="12.75">
      <c r="X849" s="388"/>
    </row>
    <row r="850" ht="12.75">
      <c r="X850" s="388"/>
    </row>
    <row r="851" ht="12.75">
      <c r="X851" s="388"/>
    </row>
    <row r="852" ht="12.75">
      <c r="X852" s="388"/>
    </row>
    <row r="853" ht="12.75">
      <c r="X853" s="388"/>
    </row>
    <row r="854" ht="12.75">
      <c r="X854" s="388"/>
    </row>
    <row r="855" ht="12.75">
      <c r="X855" s="388"/>
    </row>
    <row r="856" ht="12.75">
      <c r="X856" s="388"/>
    </row>
    <row r="857" ht="12.75">
      <c r="X857" s="388"/>
    </row>
    <row r="858" ht="12.75">
      <c r="X858" s="388"/>
    </row>
    <row r="859" ht="12.75">
      <c r="X859" s="388"/>
    </row>
    <row r="860" ht="12.75">
      <c r="X860" s="388"/>
    </row>
    <row r="861" ht="12.75">
      <c r="X861" s="388"/>
    </row>
    <row r="862" ht="12.75">
      <c r="X862" s="388"/>
    </row>
    <row r="863" ht="12.75">
      <c r="X863" s="388"/>
    </row>
    <row r="864" ht="12.75">
      <c r="X864" s="388"/>
    </row>
    <row r="865" ht="12.75">
      <c r="X865" s="388"/>
    </row>
    <row r="866" ht="12.75">
      <c r="X866" s="388"/>
    </row>
    <row r="867" ht="12.75">
      <c r="X867" s="388"/>
    </row>
    <row r="868" ht="12.75">
      <c r="X868" s="388"/>
    </row>
    <row r="869" ht="12.75">
      <c r="X869" s="388"/>
    </row>
    <row r="870" ht="12.75">
      <c r="X870" s="388"/>
    </row>
    <row r="871" ht="12.75">
      <c r="X871" s="388"/>
    </row>
    <row r="872" ht="12.75">
      <c r="X872" s="388"/>
    </row>
    <row r="873" ht="12.75">
      <c r="X873" s="388"/>
    </row>
    <row r="874" ht="12.75">
      <c r="X874" s="388"/>
    </row>
    <row r="875" ht="12.75">
      <c r="X875" s="388"/>
    </row>
    <row r="876" ht="12.75">
      <c r="X876" s="388"/>
    </row>
    <row r="877" ht="12.75">
      <c r="X877" s="388"/>
    </row>
    <row r="878" ht="12.75">
      <c r="X878" s="388"/>
    </row>
    <row r="879" ht="12.75">
      <c r="X879" s="388"/>
    </row>
    <row r="880" ht="12.75">
      <c r="X880" s="388"/>
    </row>
    <row r="881" ht="12.75">
      <c r="X881" s="388"/>
    </row>
    <row r="882" ht="12.75">
      <c r="X882" s="388"/>
    </row>
    <row r="883" ht="12.75">
      <c r="X883" s="388"/>
    </row>
    <row r="884" ht="12.75">
      <c r="X884" s="388"/>
    </row>
    <row r="885" ht="12.75">
      <c r="X885" s="388"/>
    </row>
    <row r="886" ht="12.75">
      <c r="X886" s="388"/>
    </row>
    <row r="887" ht="12.75">
      <c r="X887" s="388"/>
    </row>
    <row r="888" ht="12.75">
      <c r="X888" s="388"/>
    </row>
    <row r="889" ht="12.75">
      <c r="X889" s="388"/>
    </row>
    <row r="890" ht="12.75">
      <c r="X890" s="388"/>
    </row>
    <row r="891" ht="12.75">
      <c r="X891" s="388"/>
    </row>
    <row r="892" ht="12.75">
      <c r="X892" s="388"/>
    </row>
    <row r="893" ht="12.75">
      <c r="X893" s="388"/>
    </row>
    <row r="894" ht="12.75">
      <c r="X894" s="388"/>
    </row>
    <row r="895" ht="12.75">
      <c r="X895" s="388"/>
    </row>
    <row r="896" ht="12.75">
      <c r="X896" s="388"/>
    </row>
    <row r="897" ht="12.75">
      <c r="X897" s="388"/>
    </row>
    <row r="898" ht="12.75">
      <c r="X898" s="388"/>
    </row>
    <row r="899" ht="12.75">
      <c r="X899" s="388"/>
    </row>
    <row r="900" ht="12.75">
      <c r="X900" s="388"/>
    </row>
    <row r="901" ht="12.75">
      <c r="X901" s="388"/>
    </row>
    <row r="902" ht="12.75">
      <c r="X902" s="388"/>
    </row>
    <row r="903" ht="12.75">
      <c r="X903" s="388"/>
    </row>
    <row r="904" ht="12.75">
      <c r="X904" s="388"/>
    </row>
    <row r="905" ht="12.75">
      <c r="X905" s="388"/>
    </row>
    <row r="906" ht="12.75">
      <c r="X906" s="388"/>
    </row>
    <row r="907" ht="12.75">
      <c r="X907" s="388"/>
    </row>
    <row r="908" ht="12.75">
      <c r="X908" s="388"/>
    </row>
    <row r="909" ht="12.75">
      <c r="X909" s="388"/>
    </row>
    <row r="910" ht="12.75">
      <c r="X910" s="388"/>
    </row>
    <row r="911" ht="12.75">
      <c r="X911" s="388"/>
    </row>
    <row r="912" ht="12.75">
      <c r="X912" s="388"/>
    </row>
    <row r="913" ht="12.75">
      <c r="X913" s="388"/>
    </row>
    <row r="914" ht="12.75">
      <c r="X914" s="388"/>
    </row>
    <row r="915" ht="12.75">
      <c r="X915" s="388"/>
    </row>
    <row r="916" ht="12.75">
      <c r="X916" s="388"/>
    </row>
    <row r="917" ht="12.75">
      <c r="X917" s="388"/>
    </row>
    <row r="918" ht="12.75">
      <c r="X918" s="388"/>
    </row>
    <row r="919" ht="12.75">
      <c r="X919" s="388"/>
    </row>
    <row r="920" ht="12.75">
      <c r="X920" s="388"/>
    </row>
    <row r="921" ht="12.75">
      <c r="X921" s="388"/>
    </row>
    <row r="922" ht="12.75">
      <c r="X922" s="388"/>
    </row>
    <row r="923" ht="12.75">
      <c r="X923" s="388"/>
    </row>
    <row r="924" ht="12.75">
      <c r="X924" s="388"/>
    </row>
    <row r="925" ht="12.75">
      <c r="X925" s="388"/>
    </row>
    <row r="926" ht="12.75">
      <c r="X926" s="388"/>
    </row>
    <row r="927" ht="12.75">
      <c r="X927" s="388"/>
    </row>
    <row r="928" ht="12.75">
      <c r="X928" s="388"/>
    </row>
    <row r="929" ht="12.75">
      <c r="X929" s="388"/>
    </row>
    <row r="930" ht="12.75">
      <c r="X930" s="388"/>
    </row>
    <row r="931" ht="12.75">
      <c r="X931" s="388"/>
    </row>
    <row r="932" ht="12.75">
      <c r="X932" s="388"/>
    </row>
    <row r="933" ht="12.75">
      <c r="X933" s="388"/>
    </row>
    <row r="934" ht="12.75">
      <c r="X934" s="388"/>
    </row>
    <row r="935" ht="12.75">
      <c r="X935" s="388"/>
    </row>
    <row r="936" ht="12.75">
      <c r="X936" s="388"/>
    </row>
    <row r="937" ht="12.75">
      <c r="X937" s="388"/>
    </row>
    <row r="938" ht="12.75">
      <c r="X938" s="388"/>
    </row>
    <row r="939" ht="12.75">
      <c r="X939" s="388"/>
    </row>
    <row r="940" ht="12.75">
      <c r="X940" s="388"/>
    </row>
    <row r="941" ht="12.75">
      <c r="X941" s="388"/>
    </row>
    <row r="942" ht="12.75">
      <c r="X942" s="388"/>
    </row>
    <row r="943" ht="12.75">
      <c r="X943" s="388"/>
    </row>
    <row r="944" ht="12.75">
      <c r="X944" s="388"/>
    </row>
    <row r="945" ht="12.75">
      <c r="X945" s="388"/>
    </row>
    <row r="946" ht="12.75">
      <c r="X946" s="388"/>
    </row>
    <row r="947" ht="12.75">
      <c r="X947" s="388"/>
    </row>
    <row r="948" ht="12.75">
      <c r="X948" s="388"/>
    </row>
    <row r="949" ht="12.75">
      <c r="X949" s="388"/>
    </row>
    <row r="950" ht="12.75">
      <c r="X950" s="388"/>
    </row>
    <row r="951" ht="12.75">
      <c r="X951" s="388"/>
    </row>
    <row r="952" ht="12.75">
      <c r="X952" s="388"/>
    </row>
    <row r="953" ht="12.75">
      <c r="X953" s="388"/>
    </row>
    <row r="954" ht="12.75">
      <c r="X954" s="388"/>
    </row>
    <row r="955" ht="12.75">
      <c r="X955" s="388"/>
    </row>
    <row r="956" ht="12.75">
      <c r="X956" s="388"/>
    </row>
    <row r="957" ht="12.75">
      <c r="X957" s="388"/>
    </row>
    <row r="958" ht="12.75">
      <c r="X958" s="388"/>
    </row>
    <row r="959" ht="12.75">
      <c r="X959" s="388"/>
    </row>
    <row r="960" ht="12.75">
      <c r="X960" s="388"/>
    </row>
    <row r="961" ht="12.75">
      <c r="X961" s="388"/>
    </row>
    <row r="962" ht="12.75">
      <c r="X962" s="388"/>
    </row>
    <row r="963" ht="12.75">
      <c r="X963" s="388"/>
    </row>
    <row r="964" ht="12.75">
      <c r="X964" s="388"/>
    </row>
    <row r="965" ht="12.75">
      <c r="X965" s="388"/>
    </row>
    <row r="966" ht="12.75">
      <c r="X966" s="388"/>
    </row>
    <row r="967" ht="12.75">
      <c r="X967" s="388"/>
    </row>
    <row r="968" ht="12.75">
      <c r="X968" s="388"/>
    </row>
    <row r="969" ht="12.75">
      <c r="X969" s="388"/>
    </row>
    <row r="970" ht="12.75">
      <c r="X970" s="388"/>
    </row>
    <row r="971" ht="12.75">
      <c r="X971" s="388"/>
    </row>
    <row r="972" ht="12.75">
      <c r="X972" s="388"/>
    </row>
    <row r="973" ht="12.75">
      <c r="X973" s="388"/>
    </row>
    <row r="974" ht="12.75">
      <c r="X974" s="388"/>
    </row>
    <row r="975" ht="12.75">
      <c r="X975" s="388"/>
    </row>
    <row r="976" ht="12.75">
      <c r="X976" s="388"/>
    </row>
    <row r="977" ht="12.75">
      <c r="X977" s="388"/>
    </row>
    <row r="978" ht="12.75">
      <c r="X978" s="388"/>
    </row>
    <row r="979" ht="12.75">
      <c r="X979" s="388"/>
    </row>
    <row r="980" ht="12.75">
      <c r="X980" s="388"/>
    </row>
    <row r="981" ht="12.75">
      <c r="X981" s="388"/>
    </row>
    <row r="982" ht="12.75">
      <c r="X982" s="388"/>
    </row>
    <row r="983" ht="12.75">
      <c r="X983" s="388"/>
    </row>
    <row r="984" ht="12.75">
      <c r="X984" s="388"/>
    </row>
    <row r="985" ht="12.75">
      <c r="X985" s="388"/>
    </row>
    <row r="986" ht="12.75">
      <c r="X986" s="388"/>
    </row>
    <row r="987" ht="12.75">
      <c r="X987" s="388"/>
    </row>
    <row r="988" ht="12.75">
      <c r="X988" s="388"/>
    </row>
    <row r="989" ht="12.75">
      <c r="X989" s="388"/>
    </row>
    <row r="990" ht="12.75">
      <c r="X990" s="388"/>
    </row>
    <row r="991" ht="12.75">
      <c r="X991" s="388"/>
    </row>
    <row r="992" ht="12.75">
      <c r="X992" s="388"/>
    </row>
    <row r="993" ht="12.75">
      <c r="X993" s="388"/>
    </row>
    <row r="994" ht="12.75">
      <c r="X994" s="388"/>
    </row>
    <row r="995" ht="12.75">
      <c r="X995" s="388"/>
    </row>
    <row r="996" ht="12.75">
      <c r="X996" s="388"/>
    </row>
    <row r="997" ht="12.75">
      <c r="X997" s="388"/>
    </row>
    <row r="998" ht="12.75">
      <c r="X998" s="388"/>
    </row>
    <row r="999" ht="12.75">
      <c r="X999" s="388"/>
    </row>
    <row r="1000" ht="12.75">
      <c r="X1000" s="388"/>
    </row>
    <row r="1001" ht="12.75">
      <c r="X1001" s="388"/>
    </row>
    <row r="1002" ht="12.75">
      <c r="X1002" s="388"/>
    </row>
    <row r="1003" ht="12.75">
      <c r="X1003" s="388"/>
    </row>
    <row r="1004" ht="12.75">
      <c r="X1004" s="388"/>
    </row>
    <row r="1005" ht="12.75">
      <c r="X1005" s="388"/>
    </row>
    <row r="1006" ht="12.75">
      <c r="X1006" s="388"/>
    </row>
    <row r="1007" ht="12.75">
      <c r="X1007" s="388"/>
    </row>
    <row r="1008" ht="12.75">
      <c r="X1008" s="388"/>
    </row>
    <row r="1009" ht="12.75">
      <c r="X1009" s="388"/>
    </row>
    <row r="1010" ht="12.75">
      <c r="X1010" s="388"/>
    </row>
    <row r="1011" ht="12.75">
      <c r="X1011" s="388"/>
    </row>
    <row r="1012" ht="12.75">
      <c r="X1012" s="388"/>
    </row>
    <row r="1013" ht="12.75">
      <c r="X1013" s="388"/>
    </row>
    <row r="1014" ht="12.75">
      <c r="X1014" s="388"/>
    </row>
    <row r="1015" ht="12.75">
      <c r="X1015" s="388"/>
    </row>
    <row r="1016" ht="12.75">
      <c r="X1016" s="388"/>
    </row>
    <row r="1017" ht="12.75">
      <c r="X1017" s="388"/>
    </row>
    <row r="1018" ht="12.75">
      <c r="X1018" s="388"/>
    </row>
    <row r="1019" ht="12.75">
      <c r="X1019" s="388"/>
    </row>
    <row r="1020" ht="12.75">
      <c r="X1020" s="388"/>
    </row>
    <row r="1021" ht="12.75">
      <c r="X1021" s="388"/>
    </row>
    <row r="1022" ht="12.75">
      <c r="X1022" s="388"/>
    </row>
    <row r="1023" ht="12.75">
      <c r="X1023" s="388"/>
    </row>
    <row r="1024" ht="12.75">
      <c r="X1024" s="388"/>
    </row>
    <row r="1025" ht="12.75">
      <c r="X1025" s="388"/>
    </row>
    <row r="1026" ht="12.75">
      <c r="X1026" s="388"/>
    </row>
    <row r="1027" ht="12.75">
      <c r="X1027" s="388"/>
    </row>
    <row r="1028" ht="12.75">
      <c r="X1028" s="388"/>
    </row>
    <row r="1029" ht="12.75">
      <c r="X1029" s="388"/>
    </row>
    <row r="1030" ht="12.75">
      <c r="X1030" s="388"/>
    </row>
    <row r="1031" ht="12.75">
      <c r="X1031" s="388"/>
    </row>
    <row r="1032" ht="12.75">
      <c r="X1032" s="388"/>
    </row>
    <row r="1033" ht="12.75">
      <c r="X1033" s="388"/>
    </row>
    <row r="1034" ht="12.75">
      <c r="X1034" s="388"/>
    </row>
    <row r="1035" ht="12.75">
      <c r="X1035" s="388"/>
    </row>
    <row r="1036" ht="12.75">
      <c r="X1036" s="388"/>
    </row>
    <row r="1037" ht="12.75">
      <c r="X1037" s="388"/>
    </row>
    <row r="1038" ht="12.75">
      <c r="X1038" s="388"/>
    </row>
    <row r="1039" ht="12.75">
      <c r="X1039" s="388"/>
    </row>
    <row r="1040" ht="12.75">
      <c r="X1040" s="388"/>
    </row>
    <row r="1041" ht="12.75">
      <c r="X1041" s="388"/>
    </row>
    <row r="1042" ht="12.75">
      <c r="X1042" s="388"/>
    </row>
    <row r="1043" ht="12.75">
      <c r="X1043" s="388"/>
    </row>
    <row r="1044" ht="12.75">
      <c r="X1044" s="388"/>
    </row>
    <row r="1045" ht="12.75">
      <c r="X1045" s="388"/>
    </row>
    <row r="1046" ht="12.75">
      <c r="X1046" s="388"/>
    </row>
    <row r="1047" ht="12.75">
      <c r="X1047" s="388"/>
    </row>
    <row r="1048" ht="12.75">
      <c r="X1048" s="388"/>
    </row>
    <row r="1049" ht="12.75">
      <c r="X1049" s="388"/>
    </row>
    <row r="1050" ht="12.75">
      <c r="X1050" s="388"/>
    </row>
    <row r="1051" ht="12.75">
      <c r="X1051" s="388"/>
    </row>
    <row r="1052" ht="12.75">
      <c r="X1052" s="388"/>
    </row>
    <row r="1053" ht="12.75">
      <c r="X1053" s="388"/>
    </row>
    <row r="1054" ht="12.75">
      <c r="X1054" s="388"/>
    </row>
    <row r="1055" ht="12.75">
      <c r="X1055" s="388"/>
    </row>
    <row r="1056" ht="12.75">
      <c r="X1056" s="388"/>
    </row>
    <row r="1057" ht="12.75">
      <c r="X1057" s="388"/>
    </row>
    <row r="1058" ht="12.75">
      <c r="X1058" s="388"/>
    </row>
    <row r="1059" ht="12.75">
      <c r="X1059" s="388"/>
    </row>
    <row r="1060" ht="12.75">
      <c r="X1060" s="388"/>
    </row>
    <row r="1061" ht="12.75">
      <c r="X1061" s="388"/>
    </row>
    <row r="1062" ht="12.75">
      <c r="X1062" s="388"/>
    </row>
    <row r="1063" ht="12.75">
      <c r="X1063" s="388"/>
    </row>
    <row r="1064" ht="12.75">
      <c r="X1064" s="388"/>
    </row>
    <row r="1065" ht="12.75">
      <c r="X1065" s="388"/>
    </row>
    <row r="1066" ht="12.75">
      <c r="X1066" s="388"/>
    </row>
    <row r="1067" ht="12.75">
      <c r="X1067" s="388"/>
    </row>
    <row r="1068" ht="12.75">
      <c r="X1068" s="388"/>
    </row>
    <row r="1069" ht="12.75">
      <c r="X1069" s="388"/>
    </row>
    <row r="1070" ht="12.75">
      <c r="X1070" s="388"/>
    </row>
    <row r="1071" ht="12.75">
      <c r="X1071" s="388"/>
    </row>
    <row r="1072" ht="12.75">
      <c r="X1072" s="388"/>
    </row>
    <row r="1073" ht="12.75">
      <c r="X1073" s="388"/>
    </row>
    <row r="1074" ht="12.75">
      <c r="X1074" s="388"/>
    </row>
    <row r="1075" ht="12.75">
      <c r="X1075" s="388"/>
    </row>
    <row r="1076" ht="12.75">
      <c r="X1076" s="388"/>
    </row>
    <row r="1077" ht="12.75">
      <c r="X1077" s="388"/>
    </row>
    <row r="1078" ht="12.75">
      <c r="X1078" s="388"/>
    </row>
    <row r="1079" ht="12.75">
      <c r="X1079" s="388"/>
    </row>
    <row r="1080" ht="12.75">
      <c r="X1080" s="388"/>
    </row>
    <row r="1081" ht="12.75">
      <c r="X1081" s="388"/>
    </row>
    <row r="1082" ht="12.75">
      <c r="X1082" s="388"/>
    </row>
    <row r="1083" ht="12.75">
      <c r="X1083" s="388"/>
    </row>
    <row r="1084" ht="12.75">
      <c r="X1084" s="388"/>
    </row>
    <row r="1085" ht="12.75">
      <c r="X1085" s="388"/>
    </row>
    <row r="1086" ht="12.75">
      <c r="X1086" s="388"/>
    </row>
    <row r="1087" ht="12.75">
      <c r="X1087" s="388"/>
    </row>
    <row r="1088" ht="12.75">
      <c r="X1088" s="388"/>
    </row>
    <row r="1089" ht="12.75">
      <c r="X1089" s="388"/>
    </row>
    <row r="1090" ht="12.75">
      <c r="X1090" s="388"/>
    </row>
    <row r="1091" ht="12.75">
      <c r="X1091" s="388"/>
    </row>
    <row r="1092" ht="12.75">
      <c r="X1092" s="388"/>
    </row>
    <row r="1093" ht="12.75">
      <c r="X1093" s="388"/>
    </row>
    <row r="1094" ht="12.75">
      <c r="X1094" s="388"/>
    </row>
    <row r="1095" ht="12.75">
      <c r="X1095" s="388"/>
    </row>
    <row r="1096" ht="12.75">
      <c r="X1096" s="388"/>
    </row>
    <row r="1097" ht="12.75">
      <c r="X1097" s="388"/>
    </row>
    <row r="1098" ht="12.75">
      <c r="X1098" s="388"/>
    </row>
    <row r="1099" ht="12.75">
      <c r="X1099" s="388"/>
    </row>
    <row r="1100" ht="12.75">
      <c r="X1100" s="388"/>
    </row>
    <row r="1101" ht="12.75">
      <c r="X1101" s="388"/>
    </row>
    <row r="1102" ht="12.75">
      <c r="X1102" s="388"/>
    </row>
    <row r="1103" ht="12.75">
      <c r="X1103" s="388"/>
    </row>
    <row r="1104" ht="12.75">
      <c r="X1104" s="388"/>
    </row>
    <row r="1105" ht="12.75">
      <c r="X1105" s="388"/>
    </row>
    <row r="1106" ht="12.75">
      <c r="X1106" s="388"/>
    </row>
    <row r="1107" ht="12.75">
      <c r="X1107" s="388"/>
    </row>
    <row r="1108" ht="12.75">
      <c r="X1108" s="388"/>
    </row>
    <row r="1109" ht="12.75">
      <c r="X1109" s="388"/>
    </row>
    <row r="1110" ht="12.75">
      <c r="X1110" s="388"/>
    </row>
    <row r="1111" ht="12.75">
      <c r="X1111" s="388"/>
    </row>
    <row r="1112" ht="12.75">
      <c r="X1112" s="388"/>
    </row>
    <row r="1113" ht="12.75">
      <c r="X1113" s="388"/>
    </row>
    <row r="1114" ht="12.75">
      <c r="X1114" s="388"/>
    </row>
    <row r="1115" ht="12.75">
      <c r="X1115" s="388"/>
    </row>
    <row r="1116" ht="12.75">
      <c r="X1116" s="388"/>
    </row>
    <row r="1117" ht="12.75">
      <c r="X1117" s="388"/>
    </row>
    <row r="1118" ht="12.75">
      <c r="X1118" s="388"/>
    </row>
    <row r="1119" ht="12.75">
      <c r="X1119" s="388"/>
    </row>
    <row r="1120" ht="12.75">
      <c r="X1120" s="388"/>
    </row>
    <row r="1121" ht="12.75">
      <c r="X1121" s="388"/>
    </row>
    <row r="1122" ht="12.75">
      <c r="X1122" s="388"/>
    </row>
    <row r="1123" ht="12.75">
      <c r="X1123" s="388"/>
    </row>
    <row r="1124" ht="12.75">
      <c r="X1124" s="388"/>
    </row>
    <row r="1125" ht="12.75">
      <c r="X1125" s="388"/>
    </row>
    <row r="1126" ht="12.75">
      <c r="X1126" s="388"/>
    </row>
    <row r="1127" ht="12.75">
      <c r="X1127" s="388"/>
    </row>
    <row r="1128" ht="12.75">
      <c r="X1128" s="388"/>
    </row>
    <row r="1129" ht="12.75">
      <c r="X1129" s="388"/>
    </row>
    <row r="1130" ht="12.75">
      <c r="X1130" s="388"/>
    </row>
    <row r="1131" ht="12.75">
      <c r="X1131" s="388"/>
    </row>
    <row r="1132" ht="12.75">
      <c r="X1132" s="388"/>
    </row>
    <row r="1133" ht="12.75">
      <c r="X1133" s="388"/>
    </row>
    <row r="1134" ht="12.75">
      <c r="X1134" s="388"/>
    </row>
    <row r="1135" ht="12.75">
      <c r="X1135" s="388"/>
    </row>
    <row r="1136" ht="12.75">
      <c r="X1136" s="388"/>
    </row>
    <row r="1137" ht="12.75">
      <c r="X1137" s="388"/>
    </row>
    <row r="1138" ht="12.75">
      <c r="X1138" s="388"/>
    </row>
    <row r="1139" ht="12.75">
      <c r="X1139" s="388"/>
    </row>
    <row r="1140" ht="12.75">
      <c r="X1140" s="388"/>
    </row>
    <row r="1141" ht="12.75">
      <c r="X1141" s="388"/>
    </row>
    <row r="1142" ht="12.75">
      <c r="X1142" s="388"/>
    </row>
    <row r="1143" ht="12.75">
      <c r="X1143" s="388"/>
    </row>
    <row r="1144" ht="12.75">
      <c r="X1144" s="388"/>
    </row>
    <row r="1145" ht="12.75">
      <c r="X1145" s="388"/>
    </row>
    <row r="1146" ht="12.75">
      <c r="X1146" s="388"/>
    </row>
    <row r="1147" ht="12.75">
      <c r="X1147" s="388"/>
    </row>
    <row r="1148" ht="12.75">
      <c r="X1148" s="388"/>
    </row>
    <row r="1149" ht="12.75">
      <c r="X1149" s="388"/>
    </row>
    <row r="1150" ht="12.75">
      <c r="X1150" s="388"/>
    </row>
    <row r="1151" ht="12.75">
      <c r="X1151" s="388"/>
    </row>
    <row r="1152" ht="12.75">
      <c r="X1152" s="388"/>
    </row>
    <row r="1153" ht="12.75">
      <c r="X1153" s="388"/>
    </row>
    <row r="1154" ht="12.75">
      <c r="X1154" s="388"/>
    </row>
    <row r="1155" ht="12.75">
      <c r="X1155" s="388"/>
    </row>
    <row r="1156" ht="12.75">
      <c r="X1156" s="388"/>
    </row>
    <row r="1157" ht="12.75">
      <c r="X1157" s="388"/>
    </row>
    <row r="1158" ht="12.75">
      <c r="X1158" s="388"/>
    </row>
    <row r="1159" ht="12.75">
      <c r="X1159" s="388"/>
    </row>
    <row r="1160" ht="12.75">
      <c r="X1160" s="388"/>
    </row>
    <row r="1161" ht="12.75">
      <c r="X1161" s="388"/>
    </row>
    <row r="1162" ht="12.75">
      <c r="X1162" s="388"/>
    </row>
    <row r="1163" ht="12.75">
      <c r="X1163" s="388"/>
    </row>
    <row r="1164" ht="12.75">
      <c r="X1164" s="388"/>
    </row>
    <row r="1165" ht="12.75">
      <c r="X1165" s="388"/>
    </row>
    <row r="1166" ht="12.75">
      <c r="X1166" s="388"/>
    </row>
    <row r="1167" ht="12.75">
      <c r="X1167" s="388"/>
    </row>
    <row r="1168" ht="12.75">
      <c r="X1168" s="388"/>
    </row>
    <row r="1169" ht="12.75">
      <c r="X1169" s="388"/>
    </row>
    <row r="1170" ht="12.75">
      <c r="X1170" s="388"/>
    </row>
    <row r="1171" ht="12.75">
      <c r="X1171" s="388"/>
    </row>
    <row r="1172" ht="12.75">
      <c r="X1172" s="388"/>
    </row>
    <row r="1173" ht="12.75">
      <c r="X1173" s="388"/>
    </row>
    <row r="1174" ht="12.75">
      <c r="X1174" s="388"/>
    </row>
    <row r="1175" ht="12.75">
      <c r="X1175" s="388"/>
    </row>
    <row r="1176" ht="12.75">
      <c r="X1176" s="388"/>
    </row>
    <row r="1177" ht="12.75">
      <c r="X1177" s="388"/>
    </row>
    <row r="1178" ht="12.75">
      <c r="X1178" s="388"/>
    </row>
    <row r="1179" ht="12.75">
      <c r="X1179" s="388"/>
    </row>
    <row r="1180" ht="12.75">
      <c r="X1180" s="388"/>
    </row>
    <row r="1181" ht="12.75">
      <c r="X1181" s="388"/>
    </row>
    <row r="1182" ht="12.75">
      <c r="X1182" s="388"/>
    </row>
    <row r="1183" ht="12.75">
      <c r="X1183" s="388"/>
    </row>
    <row r="1184" ht="12.75">
      <c r="X1184" s="388"/>
    </row>
    <row r="1185" ht="12.75">
      <c r="X1185" s="388"/>
    </row>
    <row r="1186" ht="12.75">
      <c r="X1186" s="388"/>
    </row>
    <row r="1187" ht="12.75">
      <c r="X1187" s="388"/>
    </row>
    <row r="1188" ht="12.75">
      <c r="X1188" s="388"/>
    </row>
    <row r="1189" ht="12.75">
      <c r="X1189" s="388"/>
    </row>
    <row r="1190" ht="12.75">
      <c r="X1190" s="388"/>
    </row>
    <row r="1191" ht="12.75">
      <c r="X1191" s="388"/>
    </row>
    <row r="1192" ht="12.75">
      <c r="X1192" s="388"/>
    </row>
    <row r="1193" ht="12.75">
      <c r="X1193" s="388"/>
    </row>
    <row r="1194" ht="12.75">
      <c r="X1194" s="388"/>
    </row>
    <row r="1195" ht="12.75">
      <c r="X1195" s="388"/>
    </row>
    <row r="1196" ht="12.75">
      <c r="X1196" s="388"/>
    </row>
    <row r="1197" ht="12.75">
      <c r="X1197" s="388"/>
    </row>
    <row r="1198" ht="12.75">
      <c r="X1198" s="388"/>
    </row>
    <row r="1199" ht="12.75">
      <c r="X1199" s="388"/>
    </row>
    <row r="1200" ht="12.75">
      <c r="X1200" s="388"/>
    </row>
    <row r="1201" ht="12.75">
      <c r="X1201" s="388"/>
    </row>
    <row r="1202" ht="12.75">
      <c r="X1202" s="388"/>
    </row>
    <row r="1203" ht="12.75">
      <c r="X1203" s="388"/>
    </row>
    <row r="1204" ht="12.75">
      <c r="X1204" s="388"/>
    </row>
    <row r="1205" ht="12.75">
      <c r="X1205" s="388"/>
    </row>
    <row r="1206" ht="12.75">
      <c r="X1206" s="388"/>
    </row>
    <row r="1207" ht="12.75">
      <c r="X1207" s="388"/>
    </row>
    <row r="1208" ht="12.75">
      <c r="X1208" s="388"/>
    </row>
    <row r="1209" ht="12.75">
      <c r="X1209" s="388"/>
    </row>
    <row r="1210" ht="12.75">
      <c r="X1210" s="388"/>
    </row>
    <row r="1211" ht="12.75">
      <c r="X1211" s="388"/>
    </row>
    <row r="1212" ht="12.75">
      <c r="X1212" s="388"/>
    </row>
    <row r="1213" ht="12.75">
      <c r="X1213" s="388"/>
    </row>
    <row r="1214" ht="12.75">
      <c r="X1214" s="388"/>
    </row>
    <row r="1215" ht="12.75">
      <c r="X1215" s="388"/>
    </row>
    <row r="1216" ht="12.75">
      <c r="X1216" s="388"/>
    </row>
    <row r="1217" ht="12.75">
      <c r="X1217" s="388"/>
    </row>
    <row r="1218" ht="12.75">
      <c r="X1218" s="388"/>
    </row>
    <row r="1219" ht="12.75">
      <c r="X1219" s="388"/>
    </row>
    <row r="1220" ht="12.75">
      <c r="X1220" s="388"/>
    </row>
    <row r="1221" ht="12.75">
      <c r="X1221" s="388"/>
    </row>
    <row r="1222" ht="12.75">
      <c r="X1222" s="388"/>
    </row>
    <row r="1223" ht="12.75">
      <c r="X1223" s="388"/>
    </row>
    <row r="1224" ht="12.75">
      <c r="X1224" s="388"/>
    </row>
    <row r="1225" ht="12.75">
      <c r="X1225" s="388"/>
    </row>
    <row r="1226" ht="12.75">
      <c r="X1226" s="388"/>
    </row>
    <row r="1227" ht="12.75">
      <c r="X1227" s="388"/>
    </row>
    <row r="1228" ht="12.75">
      <c r="X1228" s="388"/>
    </row>
    <row r="1229" ht="12.75">
      <c r="X1229" s="388"/>
    </row>
    <row r="1230" ht="12.75">
      <c r="X1230" s="388"/>
    </row>
    <row r="1231" ht="12.75">
      <c r="X1231" s="388"/>
    </row>
    <row r="1232" ht="12.75">
      <c r="X1232" s="388"/>
    </row>
    <row r="1233" ht="12.75">
      <c r="X1233" s="388"/>
    </row>
    <row r="1234" ht="12.75">
      <c r="X1234" s="388"/>
    </row>
    <row r="1235" ht="12.75">
      <c r="X1235" s="388"/>
    </row>
    <row r="1236" ht="12.75">
      <c r="X1236" s="388"/>
    </row>
    <row r="1237" ht="12.75">
      <c r="X1237" s="388"/>
    </row>
    <row r="1238" ht="12.75">
      <c r="X1238" s="388"/>
    </row>
    <row r="1239" ht="12.75">
      <c r="X1239" s="388"/>
    </row>
    <row r="1240" ht="12.75">
      <c r="X1240" s="388"/>
    </row>
    <row r="1241" ht="12.75">
      <c r="X1241" s="388"/>
    </row>
    <row r="1242" ht="12.75">
      <c r="X1242" s="388"/>
    </row>
    <row r="1243" ht="12.75">
      <c r="X1243" s="388"/>
    </row>
    <row r="1244" ht="12.75">
      <c r="X1244" s="388"/>
    </row>
    <row r="1245" ht="12.75">
      <c r="X1245" s="388"/>
    </row>
    <row r="1246" ht="12.75">
      <c r="X1246" s="388"/>
    </row>
    <row r="1247" ht="12.75">
      <c r="X1247" s="388"/>
    </row>
    <row r="1248" ht="12.75">
      <c r="X1248" s="388"/>
    </row>
    <row r="1249" ht="12.75">
      <c r="X1249" s="388"/>
    </row>
    <row r="1250" ht="12.75">
      <c r="X1250" s="388"/>
    </row>
    <row r="1251" ht="12.75">
      <c r="X1251" s="388"/>
    </row>
    <row r="1252" ht="12.75">
      <c r="X1252" s="388"/>
    </row>
    <row r="1253" ht="12.75">
      <c r="X1253" s="388"/>
    </row>
    <row r="1254" ht="12.75">
      <c r="X1254" s="388"/>
    </row>
    <row r="1255" ht="12.75">
      <c r="X1255" s="388"/>
    </row>
    <row r="1256" ht="12.75">
      <c r="X1256" s="388"/>
    </row>
    <row r="1257" ht="12.75">
      <c r="X1257" s="388"/>
    </row>
    <row r="1258" ht="12.75">
      <c r="X1258" s="388"/>
    </row>
    <row r="1259" ht="12.75">
      <c r="X1259" s="388"/>
    </row>
    <row r="1260" ht="12.75">
      <c r="X1260" s="388"/>
    </row>
    <row r="1261" ht="12.75">
      <c r="X1261" s="388"/>
    </row>
    <row r="1262" ht="12.75">
      <c r="X1262" s="388"/>
    </row>
    <row r="1263" ht="12.75">
      <c r="X1263" s="388"/>
    </row>
    <row r="1264" ht="12.75">
      <c r="X1264" s="388"/>
    </row>
    <row r="1265" ht="12.75">
      <c r="X1265" s="388"/>
    </row>
    <row r="1266" ht="12.75">
      <c r="X1266" s="388"/>
    </row>
    <row r="1267" ht="12.75">
      <c r="X1267" s="388"/>
    </row>
    <row r="1268" ht="12.75">
      <c r="X1268" s="388"/>
    </row>
    <row r="1269" ht="12.75">
      <c r="X1269" s="388"/>
    </row>
    <row r="1270" ht="12.75">
      <c r="X1270" s="388"/>
    </row>
    <row r="1271" ht="12.75">
      <c r="X1271" s="388"/>
    </row>
    <row r="1272" ht="12.75">
      <c r="X1272" s="388"/>
    </row>
    <row r="1273" ht="12.75">
      <c r="X1273" s="388"/>
    </row>
    <row r="1274" ht="12.75">
      <c r="X1274" s="388"/>
    </row>
    <row r="1275" ht="12.75">
      <c r="X1275" s="388"/>
    </row>
    <row r="1276" ht="12.75">
      <c r="X1276" s="388"/>
    </row>
    <row r="1277" ht="12.75">
      <c r="X1277" s="388"/>
    </row>
    <row r="1278" ht="12.75">
      <c r="X1278" s="388"/>
    </row>
    <row r="1279" ht="12.75">
      <c r="X1279" s="388"/>
    </row>
    <row r="1280" ht="12.75">
      <c r="X1280" s="388"/>
    </row>
    <row r="1281" ht="12.75">
      <c r="X1281" s="388"/>
    </row>
    <row r="1282" ht="12.75">
      <c r="X1282" s="388"/>
    </row>
    <row r="1283" ht="12.75">
      <c r="X1283" s="388"/>
    </row>
    <row r="1284" ht="12.75">
      <c r="X1284" s="388"/>
    </row>
    <row r="1285" ht="12.75">
      <c r="X1285" s="388"/>
    </row>
    <row r="1286" ht="12.75">
      <c r="X1286" s="388"/>
    </row>
    <row r="1287" ht="12.75">
      <c r="X1287" s="388"/>
    </row>
    <row r="1288" ht="12.75">
      <c r="X1288" s="388"/>
    </row>
    <row r="1289" ht="12.75">
      <c r="X1289" s="388"/>
    </row>
    <row r="1290" ht="12.75">
      <c r="X1290" s="388"/>
    </row>
    <row r="1291" ht="12.75">
      <c r="X1291" s="388"/>
    </row>
    <row r="1292" ht="12.75">
      <c r="X1292" s="388"/>
    </row>
    <row r="1293" ht="12.75">
      <c r="X1293" s="388"/>
    </row>
    <row r="1294" ht="12.75">
      <c r="X1294" s="388"/>
    </row>
    <row r="1295" ht="12.75">
      <c r="X1295" s="388"/>
    </row>
    <row r="1296" ht="12.75">
      <c r="X1296" s="388"/>
    </row>
    <row r="1297" ht="12.75">
      <c r="X1297" s="388"/>
    </row>
    <row r="1298" ht="12.75">
      <c r="X1298" s="388"/>
    </row>
    <row r="1299" ht="12.75">
      <c r="X1299" s="388"/>
    </row>
    <row r="1300" ht="12.75">
      <c r="X1300" s="388"/>
    </row>
    <row r="1301" ht="12.75">
      <c r="X1301" s="388"/>
    </row>
    <row r="1302" ht="12.75">
      <c r="X1302" s="388"/>
    </row>
    <row r="1303" ht="12.75">
      <c r="X1303" s="388"/>
    </row>
    <row r="1304" ht="12.75">
      <c r="X1304" s="388"/>
    </row>
    <row r="1305" ht="12.75">
      <c r="X1305" s="388"/>
    </row>
    <row r="1306" ht="12.75">
      <c r="X1306" s="388"/>
    </row>
    <row r="1307" ht="12.75">
      <c r="X1307" s="388"/>
    </row>
    <row r="1308" ht="12.75">
      <c r="X1308" s="388"/>
    </row>
    <row r="1309" ht="12.75">
      <c r="X1309" s="388"/>
    </row>
    <row r="1310" ht="12.75">
      <c r="X1310" s="388"/>
    </row>
    <row r="1311" ht="12.75">
      <c r="X1311" s="388"/>
    </row>
    <row r="1312" ht="12.75">
      <c r="X1312" s="388"/>
    </row>
    <row r="1313" ht="12.75">
      <c r="X1313" s="388"/>
    </row>
    <row r="1314" ht="12.75">
      <c r="X1314" s="388"/>
    </row>
    <row r="1315" ht="12.75">
      <c r="X1315" s="388"/>
    </row>
    <row r="1316" ht="12.75">
      <c r="X1316" s="388"/>
    </row>
    <row r="1317" ht="12.75">
      <c r="X1317" s="388"/>
    </row>
    <row r="1318" ht="12.75">
      <c r="X1318" s="388"/>
    </row>
    <row r="1319" ht="12.75">
      <c r="X1319" s="388"/>
    </row>
    <row r="1320" ht="12.75">
      <c r="X1320" s="388"/>
    </row>
    <row r="1321" ht="12.75">
      <c r="X1321" s="388"/>
    </row>
    <row r="1322" ht="12.75">
      <c r="X1322" s="388"/>
    </row>
    <row r="1323" ht="12.75">
      <c r="X1323" s="388"/>
    </row>
    <row r="1324" ht="12.75">
      <c r="X1324" s="388"/>
    </row>
    <row r="1325" ht="12.75">
      <c r="X1325" s="388"/>
    </row>
    <row r="1326" ht="12.75">
      <c r="X1326" s="388"/>
    </row>
    <row r="1327" ht="12.75">
      <c r="X1327" s="388"/>
    </row>
    <row r="1328" ht="12.75">
      <c r="X1328" s="388"/>
    </row>
    <row r="1329" ht="12.75">
      <c r="X1329" s="388"/>
    </row>
    <row r="1330" ht="12.75">
      <c r="X1330" s="388"/>
    </row>
    <row r="1331" ht="12.75">
      <c r="X1331" s="388"/>
    </row>
    <row r="1332" ht="12.75">
      <c r="X1332" s="388"/>
    </row>
    <row r="1333" ht="12.75">
      <c r="X1333" s="388"/>
    </row>
    <row r="1334" ht="12.75">
      <c r="X1334" s="388"/>
    </row>
    <row r="1335" ht="12.75">
      <c r="X1335" s="388"/>
    </row>
    <row r="1336" ht="12.75">
      <c r="X1336" s="388"/>
    </row>
    <row r="1337" ht="12.75">
      <c r="X1337" s="388"/>
    </row>
    <row r="1338" ht="12.75">
      <c r="X1338" s="388"/>
    </row>
    <row r="1339" ht="12.75">
      <c r="X1339" s="388"/>
    </row>
    <row r="1340" ht="12.75">
      <c r="X1340" s="388"/>
    </row>
    <row r="1341" ht="12.75">
      <c r="X1341" s="388"/>
    </row>
    <row r="1342" ht="12.75">
      <c r="X1342" s="388"/>
    </row>
    <row r="1343" ht="12.75">
      <c r="X1343" s="388"/>
    </row>
    <row r="1344" ht="12.75">
      <c r="X1344" s="388"/>
    </row>
    <row r="1345" ht="12.75">
      <c r="X1345" s="388"/>
    </row>
    <row r="1346" ht="12.75">
      <c r="X1346" s="388"/>
    </row>
    <row r="1347" ht="12.75">
      <c r="X1347" s="388"/>
    </row>
    <row r="1348" ht="12.75">
      <c r="X1348" s="388"/>
    </row>
    <row r="1349" ht="12.75">
      <c r="X1349" s="388"/>
    </row>
    <row r="1350" ht="12.75">
      <c r="X1350" s="388"/>
    </row>
    <row r="1351" ht="12.75">
      <c r="X1351" s="388"/>
    </row>
    <row r="1352" ht="12.75">
      <c r="X1352" s="388"/>
    </row>
    <row r="1353" ht="12.75">
      <c r="X1353" s="388"/>
    </row>
    <row r="1354" ht="12.75">
      <c r="X1354" s="388"/>
    </row>
    <row r="1355" ht="12.75">
      <c r="X1355" s="388"/>
    </row>
    <row r="1356" ht="12.75">
      <c r="X1356" s="388"/>
    </row>
    <row r="1357" ht="12.75">
      <c r="X1357" s="388"/>
    </row>
    <row r="1358" ht="12.75">
      <c r="X1358" s="388"/>
    </row>
    <row r="1359" ht="12.75">
      <c r="X1359" s="388"/>
    </row>
    <row r="1360" ht="12.75">
      <c r="X1360" s="388"/>
    </row>
    <row r="1361" ht="12.75">
      <c r="X1361" s="388"/>
    </row>
    <row r="1362" ht="12.75">
      <c r="X1362" s="388"/>
    </row>
    <row r="1363" ht="12.75">
      <c r="X1363" s="388"/>
    </row>
    <row r="1364" ht="12.75">
      <c r="X1364" s="388"/>
    </row>
    <row r="1365" ht="12.75">
      <c r="X1365" s="388"/>
    </row>
    <row r="1366" ht="12.75">
      <c r="X1366" s="388"/>
    </row>
    <row r="1367" ht="12.75">
      <c r="X1367" s="388"/>
    </row>
    <row r="1368" ht="12.75">
      <c r="X1368" s="388"/>
    </row>
    <row r="1369" ht="12.75">
      <c r="X1369" s="388"/>
    </row>
    <row r="1370" ht="12.75">
      <c r="X1370" s="388"/>
    </row>
    <row r="1371" ht="12.75">
      <c r="X1371" s="388"/>
    </row>
    <row r="1372" ht="12.75">
      <c r="X1372" s="388"/>
    </row>
    <row r="1373" ht="12.75">
      <c r="X1373" s="388"/>
    </row>
    <row r="1374" ht="12.75">
      <c r="X1374" s="388"/>
    </row>
    <row r="1375" ht="12.75">
      <c r="X1375" s="388"/>
    </row>
    <row r="1376" ht="12.75">
      <c r="X1376" s="388"/>
    </row>
    <row r="1377" ht="12.75">
      <c r="X1377" s="388"/>
    </row>
    <row r="1378" ht="12.75">
      <c r="X1378" s="388"/>
    </row>
    <row r="1379" ht="12.75">
      <c r="X1379" s="388"/>
    </row>
    <row r="1380" ht="12.75">
      <c r="X1380" s="388"/>
    </row>
    <row r="1381" ht="12.75">
      <c r="X1381" s="388"/>
    </row>
    <row r="1382" ht="12.75">
      <c r="X1382" s="388"/>
    </row>
    <row r="1383" ht="12.75">
      <c r="X1383" s="388"/>
    </row>
    <row r="1384" ht="12.75">
      <c r="X1384" s="388"/>
    </row>
    <row r="1385" ht="12.75">
      <c r="X1385" s="388"/>
    </row>
    <row r="1386" ht="12.75">
      <c r="X1386" s="388"/>
    </row>
    <row r="1387" ht="12.75">
      <c r="X1387" s="388"/>
    </row>
    <row r="1388" ht="12.75">
      <c r="X1388" s="388"/>
    </row>
    <row r="1389" ht="12.75">
      <c r="X1389" s="388"/>
    </row>
    <row r="1390" ht="12.75">
      <c r="X1390" s="388"/>
    </row>
    <row r="1391" ht="12.75">
      <c r="X1391" s="388"/>
    </row>
    <row r="1392" ht="12.75">
      <c r="X1392" s="388"/>
    </row>
    <row r="1393" ht="12.75">
      <c r="X1393" s="388"/>
    </row>
    <row r="1394" ht="12.75">
      <c r="X1394" s="388"/>
    </row>
    <row r="1395" ht="12.75">
      <c r="X1395" s="388"/>
    </row>
    <row r="1396" ht="12.75">
      <c r="X1396" s="388"/>
    </row>
    <row r="1397" ht="12.75">
      <c r="X1397" s="388"/>
    </row>
    <row r="1398" ht="12.75">
      <c r="X1398" s="388"/>
    </row>
    <row r="1399" ht="12.75">
      <c r="X1399" s="388"/>
    </row>
    <row r="1400" ht="12.75">
      <c r="X1400" s="388"/>
    </row>
    <row r="1401" ht="12.75">
      <c r="X1401" s="388"/>
    </row>
    <row r="1402" ht="12.75">
      <c r="X1402" s="388"/>
    </row>
    <row r="1403" ht="12.75">
      <c r="X1403" s="388"/>
    </row>
    <row r="1404" ht="12.75">
      <c r="X1404" s="388"/>
    </row>
    <row r="1405" ht="12.75">
      <c r="X1405" s="388"/>
    </row>
    <row r="1406" ht="12.75">
      <c r="X1406" s="388"/>
    </row>
    <row r="1407" ht="12.75">
      <c r="X1407" s="388"/>
    </row>
    <row r="1408" ht="12.75">
      <c r="X1408" s="388"/>
    </row>
    <row r="1409" ht="12.75">
      <c r="X1409" s="388"/>
    </row>
    <row r="1410" ht="12.75">
      <c r="X1410" s="388"/>
    </row>
    <row r="1411" ht="12.75">
      <c r="X1411" s="388"/>
    </row>
    <row r="1412" ht="12.75">
      <c r="X1412" s="388"/>
    </row>
    <row r="1413" ht="12.75">
      <c r="X1413" s="388"/>
    </row>
    <row r="1414" ht="12.75">
      <c r="X1414" s="388"/>
    </row>
    <row r="1415" ht="12.75">
      <c r="X1415" s="388"/>
    </row>
    <row r="1416" ht="12.75">
      <c r="X1416" s="388"/>
    </row>
    <row r="1417" ht="12.75">
      <c r="X1417" s="388"/>
    </row>
    <row r="1418" ht="12.75">
      <c r="X1418" s="388"/>
    </row>
    <row r="1419" ht="12.75">
      <c r="X1419" s="388"/>
    </row>
    <row r="1420" ht="12.75">
      <c r="X1420" s="388"/>
    </row>
    <row r="1421" ht="12.75">
      <c r="X1421" s="388"/>
    </row>
    <row r="1422" ht="12.75">
      <c r="X1422" s="388"/>
    </row>
    <row r="1423" ht="12.75">
      <c r="X1423" s="388"/>
    </row>
    <row r="1424" ht="12.75">
      <c r="X1424" s="388"/>
    </row>
    <row r="1425" ht="12.75">
      <c r="X1425" s="388"/>
    </row>
    <row r="1426" ht="12.75">
      <c r="X1426" s="388"/>
    </row>
    <row r="1427" ht="12.75">
      <c r="X1427" s="388"/>
    </row>
    <row r="1428" ht="12.75">
      <c r="X1428" s="388"/>
    </row>
    <row r="1429" ht="12.75">
      <c r="X1429" s="388"/>
    </row>
    <row r="1430" ht="12.75">
      <c r="X1430" s="388"/>
    </row>
    <row r="1431" ht="12.75">
      <c r="X1431" s="388"/>
    </row>
    <row r="1432" ht="12.75">
      <c r="X1432" s="388"/>
    </row>
    <row r="1433" ht="12.75">
      <c r="X1433" s="388"/>
    </row>
    <row r="1434" ht="12.75">
      <c r="X1434" s="388"/>
    </row>
    <row r="1435" ht="12.75">
      <c r="X1435" s="388"/>
    </row>
    <row r="1436" ht="12.75">
      <c r="X1436" s="388"/>
    </row>
    <row r="1437" ht="12.75">
      <c r="X1437" s="388"/>
    </row>
    <row r="1438" ht="12.75">
      <c r="X1438" s="388"/>
    </row>
    <row r="1439" ht="12.75">
      <c r="X1439" s="388"/>
    </row>
    <row r="1440" ht="12.75">
      <c r="X1440" s="388"/>
    </row>
    <row r="1441" ht="12.75">
      <c r="X1441" s="388"/>
    </row>
    <row r="1442" ht="12.75">
      <c r="X1442" s="388"/>
    </row>
    <row r="1443" ht="12.75">
      <c r="X1443" s="388"/>
    </row>
    <row r="1444" ht="12.75">
      <c r="X1444" s="388"/>
    </row>
    <row r="1445" ht="12.75">
      <c r="X1445" s="388"/>
    </row>
    <row r="1446" ht="12.75">
      <c r="X1446" s="388"/>
    </row>
    <row r="1447" ht="12.75">
      <c r="X1447" s="388"/>
    </row>
    <row r="1448" ht="12.75">
      <c r="X1448" s="388"/>
    </row>
    <row r="1449" ht="12.75">
      <c r="X1449" s="388"/>
    </row>
    <row r="1450" ht="12.75">
      <c r="X1450" s="388"/>
    </row>
    <row r="1451" ht="12.75">
      <c r="X1451" s="388"/>
    </row>
    <row r="1452" ht="12.75">
      <c r="X1452" s="388"/>
    </row>
    <row r="1453" ht="12.75">
      <c r="X1453" s="388"/>
    </row>
    <row r="1454" ht="12.75">
      <c r="X1454" s="388"/>
    </row>
    <row r="1455" ht="12.75">
      <c r="X1455" s="388"/>
    </row>
    <row r="1456" ht="12.75">
      <c r="X1456" s="388"/>
    </row>
    <row r="1457" ht="12.75">
      <c r="X1457" s="388"/>
    </row>
    <row r="1458" ht="12.75">
      <c r="X1458" s="388"/>
    </row>
    <row r="1459" ht="12.75">
      <c r="X1459" s="388"/>
    </row>
    <row r="1460" ht="12.75">
      <c r="X1460" s="388"/>
    </row>
    <row r="1461" ht="12.75">
      <c r="X1461" s="388"/>
    </row>
    <row r="1462" ht="12.75">
      <c r="X1462" s="388"/>
    </row>
    <row r="1463" ht="12.75">
      <c r="X1463" s="388"/>
    </row>
    <row r="1464" ht="12.75">
      <c r="X1464" s="388"/>
    </row>
    <row r="1465" ht="12.75">
      <c r="X1465" s="388"/>
    </row>
    <row r="1466" ht="12.75">
      <c r="X1466" s="388"/>
    </row>
    <row r="1467" ht="12.75">
      <c r="X1467" s="388"/>
    </row>
    <row r="1468" ht="12.75">
      <c r="X1468" s="388"/>
    </row>
    <row r="1469" ht="12.75">
      <c r="X1469" s="388"/>
    </row>
    <row r="1470" ht="12.75">
      <c r="X1470" s="388"/>
    </row>
    <row r="1471" ht="12.75">
      <c r="X1471" s="388"/>
    </row>
    <row r="1472" ht="12.75">
      <c r="X1472" s="388"/>
    </row>
    <row r="1473" ht="12.75">
      <c r="X1473" s="388"/>
    </row>
    <row r="1474" ht="12.75">
      <c r="X1474" s="388"/>
    </row>
    <row r="1475" ht="12.75">
      <c r="X1475" s="388"/>
    </row>
    <row r="1476" ht="12.75">
      <c r="X1476" s="388"/>
    </row>
    <row r="1477" ht="12.75">
      <c r="X1477" s="388"/>
    </row>
    <row r="1478" ht="12.75">
      <c r="X1478" s="388"/>
    </row>
    <row r="1479" ht="12.75">
      <c r="X1479" s="388"/>
    </row>
    <row r="1480" ht="12.75">
      <c r="X1480" s="388"/>
    </row>
    <row r="1481" ht="12.75">
      <c r="X1481" s="388"/>
    </row>
    <row r="1482" ht="12.75">
      <c r="X1482" s="388"/>
    </row>
    <row r="1483" ht="12.75">
      <c r="X1483" s="388"/>
    </row>
    <row r="1484" ht="12.75">
      <c r="X1484" s="388"/>
    </row>
    <row r="1485" ht="12.75">
      <c r="X1485" s="388"/>
    </row>
    <row r="1486" ht="12.75">
      <c r="X1486" s="388"/>
    </row>
    <row r="1487" ht="12.75">
      <c r="X1487" s="388"/>
    </row>
    <row r="1488" ht="12.75">
      <c r="X1488" s="388"/>
    </row>
    <row r="1489" ht="12.75">
      <c r="X1489" s="388"/>
    </row>
    <row r="1490" ht="12.75">
      <c r="X1490" s="388"/>
    </row>
    <row r="1491" ht="12.75">
      <c r="X1491" s="388"/>
    </row>
    <row r="1492" ht="12.75">
      <c r="X1492" s="388"/>
    </row>
    <row r="1493" ht="12.75">
      <c r="X1493" s="388"/>
    </row>
    <row r="1494" ht="12.75">
      <c r="X1494" s="388"/>
    </row>
    <row r="1495" ht="12.75">
      <c r="X1495" s="388"/>
    </row>
    <row r="1496" ht="12.75">
      <c r="X1496" s="388"/>
    </row>
    <row r="1497" ht="12.75">
      <c r="X1497" s="388"/>
    </row>
    <row r="1498" ht="12.75">
      <c r="X1498" s="388"/>
    </row>
    <row r="1499" ht="12.75">
      <c r="X1499" s="388"/>
    </row>
    <row r="1500" ht="12.75">
      <c r="X1500" s="388"/>
    </row>
    <row r="1501" ht="12.75">
      <c r="X1501" s="388"/>
    </row>
    <row r="1502" ht="12.75">
      <c r="X1502" s="388"/>
    </row>
    <row r="1503" ht="12.75">
      <c r="X1503" s="388"/>
    </row>
    <row r="1504" ht="12.75">
      <c r="X1504" s="388"/>
    </row>
    <row r="1505" ht="12.75">
      <c r="X1505" s="388"/>
    </row>
    <row r="1506" ht="12.75">
      <c r="X1506" s="388"/>
    </row>
    <row r="1507" ht="12.75">
      <c r="X1507" s="388"/>
    </row>
    <row r="1508" ht="12.75">
      <c r="X1508" s="388"/>
    </row>
    <row r="1509" ht="12.75">
      <c r="X1509" s="388"/>
    </row>
    <row r="1510" ht="12.75">
      <c r="X1510" s="388"/>
    </row>
    <row r="1511" ht="12.75">
      <c r="X1511" s="388"/>
    </row>
    <row r="1512" ht="12.75">
      <c r="X1512" s="388"/>
    </row>
    <row r="1513" ht="12.75">
      <c r="X1513" s="388"/>
    </row>
    <row r="1514" ht="12.75">
      <c r="X1514" s="388"/>
    </row>
    <row r="1515" ht="12.75">
      <c r="X1515" s="388"/>
    </row>
    <row r="1516" ht="12.75">
      <c r="X1516" s="388"/>
    </row>
    <row r="1517" ht="12.75">
      <c r="X1517" s="388"/>
    </row>
    <row r="1518" ht="12.75">
      <c r="X1518" s="388"/>
    </row>
    <row r="1519" ht="12.75">
      <c r="X1519" s="388"/>
    </row>
    <row r="1520" ht="12.75">
      <c r="X1520" s="388"/>
    </row>
    <row r="1521" ht="12.75">
      <c r="X1521" s="388"/>
    </row>
    <row r="1522" ht="12.75">
      <c r="X1522" s="388"/>
    </row>
    <row r="1523" ht="12.75">
      <c r="X1523" s="388"/>
    </row>
    <row r="1524" ht="12.75">
      <c r="X1524" s="388"/>
    </row>
    <row r="1525" ht="12.75">
      <c r="X1525" s="388"/>
    </row>
    <row r="1526" ht="12.75">
      <c r="X1526" s="388"/>
    </row>
    <row r="1527" ht="12.75">
      <c r="X1527" s="388"/>
    </row>
    <row r="1528" ht="12.75">
      <c r="X1528" s="388"/>
    </row>
    <row r="1529" ht="12.75">
      <c r="X1529" s="388"/>
    </row>
    <row r="1530" ht="12.75">
      <c r="X1530" s="388"/>
    </row>
    <row r="1531" ht="12.75">
      <c r="X1531" s="388"/>
    </row>
    <row r="1532" ht="12.75">
      <c r="X1532" s="388"/>
    </row>
    <row r="1533" ht="12.75">
      <c r="X1533" s="388"/>
    </row>
    <row r="1534" ht="12.75">
      <c r="X1534" s="388"/>
    </row>
    <row r="1535" ht="12.75">
      <c r="X1535" s="388"/>
    </row>
    <row r="1536" ht="12.75">
      <c r="X1536" s="388"/>
    </row>
    <row r="1537" ht="12.75">
      <c r="X1537" s="388"/>
    </row>
    <row r="1538" ht="12.75">
      <c r="X1538" s="388"/>
    </row>
    <row r="1539" ht="12.75">
      <c r="X1539" s="388"/>
    </row>
    <row r="1540" ht="12.75">
      <c r="X1540" s="388"/>
    </row>
    <row r="1541" ht="12.75">
      <c r="X1541" s="388"/>
    </row>
    <row r="1542" ht="12.75">
      <c r="X1542" s="388"/>
    </row>
    <row r="1543" ht="12.75">
      <c r="X1543" s="388"/>
    </row>
    <row r="1544" ht="12.75">
      <c r="X1544" s="388"/>
    </row>
    <row r="1545" ht="12.75">
      <c r="X1545" s="388"/>
    </row>
    <row r="1546" ht="12.75">
      <c r="X1546" s="388"/>
    </row>
    <row r="1547" ht="12.75">
      <c r="X1547" s="388"/>
    </row>
    <row r="1548" ht="12.75">
      <c r="X1548" s="388"/>
    </row>
    <row r="1549" ht="12.75">
      <c r="X1549" s="388"/>
    </row>
    <row r="1550" ht="12.75">
      <c r="X1550" s="388"/>
    </row>
    <row r="1551" ht="12.75">
      <c r="X1551" s="388"/>
    </row>
    <row r="1552" ht="12.75">
      <c r="X1552" s="388"/>
    </row>
    <row r="1553" ht="12.75">
      <c r="X1553" s="388"/>
    </row>
    <row r="1554" ht="12.75">
      <c r="X1554" s="388"/>
    </row>
    <row r="1555" ht="12.75">
      <c r="X1555" s="388"/>
    </row>
    <row r="1556" ht="12.75">
      <c r="X1556" s="388"/>
    </row>
    <row r="1557" ht="12.75">
      <c r="X1557" s="388"/>
    </row>
    <row r="1558" ht="12.75">
      <c r="X1558" s="388"/>
    </row>
    <row r="1559" ht="12.75">
      <c r="X1559" s="388"/>
    </row>
    <row r="1560" ht="12.75">
      <c r="X1560" s="388"/>
    </row>
    <row r="1561" ht="12.75">
      <c r="X1561" s="388"/>
    </row>
    <row r="1562" ht="12.75">
      <c r="X1562" s="388"/>
    </row>
    <row r="1563" ht="12.75">
      <c r="X1563" s="388"/>
    </row>
    <row r="1564" ht="12.75">
      <c r="X1564" s="388"/>
    </row>
    <row r="1565" ht="12.75">
      <c r="X1565" s="388"/>
    </row>
    <row r="1566" ht="12.75">
      <c r="X1566" s="388"/>
    </row>
    <row r="1567" ht="12.75">
      <c r="X1567" s="388"/>
    </row>
    <row r="1568" ht="12.75">
      <c r="X1568" s="388"/>
    </row>
    <row r="1569" ht="12.75">
      <c r="X1569" s="388"/>
    </row>
    <row r="1570" ht="12.75">
      <c r="X1570" s="388"/>
    </row>
    <row r="1571" ht="12.75">
      <c r="X1571" s="388"/>
    </row>
    <row r="1572" ht="12.75">
      <c r="X1572" s="388"/>
    </row>
    <row r="1573" ht="12.75">
      <c r="X1573" s="388"/>
    </row>
    <row r="1574" ht="12.75">
      <c r="X1574" s="388"/>
    </row>
    <row r="1575" ht="12.75">
      <c r="X1575" s="388"/>
    </row>
    <row r="1576" ht="12.75">
      <c r="X1576" s="388"/>
    </row>
    <row r="1577" ht="12.75">
      <c r="X1577" s="388"/>
    </row>
    <row r="1578" ht="12.75">
      <c r="X1578" s="388"/>
    </row>
    <row r="1579" ht="12.75">
      <c r="X1579" s="388"/>
    </row>
    <row r="1580" ht="12.75">
      <c r="X1580" s="388"/>
    </row>
    <row r="1581" ht="12.75">
      <c r="X1581" s="388"/>
    </row>
    <row r="1582" ht="12.75">
      <c r="X1582" s="388"/>
    </row>
    <row r="1583" ht="12.75">
      <c r="X1583" s="388"/>
    </row>
    <row r="1584" ht="12.75">
      <c r="X1584" s="388"/>
    </row>
    <row r="1585" ht="12.75">
      <c r="X1585" s="388"/>
    </row>
    <row r="1586" ht="12.75">
      <c r="X1586" s="388"/>
    </row>
    <row r="1587" ht="12.75">
      <c r="X1587" s="388"/>
    </row>
    <row r="1588" ht="12.75">
      <c r="X1588" s="388"/>
    </row>
    <row r="1589" ht="12.75">
      <c r="X1589" s="388"/>
    </row>
    <row r="1590" ht="12.75">
      <c r="X1590" s="388"/>
    </row>
    <row r="1591" ht="12.75">
      <c r="X1591" s="388"/>
    </row>
    <row r="1592" ht="12.75">
      <c r="X1592" s="388"/>
    </row>
    <row r="1593" ht="12.75">
      <c r="X1593" s="388"/>
    </row>
    <row r="1594" ht="12.75">
      <c r="X1594" s="388"/>
    </row>
    <row r="1595" ht="12.75">
      <c r="X1595" s="388"/>
    </row>
    <row r="1596" ht="12.75">
      <c r="X1596" s="388"/>
    </row>
    <row r="1597" ht="12.75">
      <c r="X1597" s="388"/>
    </row>
    <row r="1598" ht="12.75">
      <c r="X1598" s="388"/>
    </row>
    <row r="1599" ht="12.75">
      <c r="X1599" s="388"/>
    </row>
    <row r="1600" ht="12.75">
      <c r="X1600" s="388"/>
    </row>
    <row r="1601" ht="12.75">
      <c r="X1601" s="388"/>
    </row>
    <row r="1602" ht="12.75">
      <c r="X1602" s="388"/>
    </row>
    <row r="1603" ht="12.75">
      <c r="X1603" s="388"/>
    </row>
    <row r="1604" ht="12.75">
      <c r="X1604" s="388"/>
    </row>
    <row r="1605" ht="12.75">
      <c r="X1605" s="388"/>
    </row>
    <row r="1606" ht="12.75">
      <c r="X1606" s="388"/>
    </row>
    <row r="1607" ht="12.75">
      <c r="X1607" s="388"/>
    </row>
    <row r="1608" ht="12.75">
      <c r="X1608" s="388"/>
    </row>
    <row r="1609" ht="12.75">
      <c r="X1609" s="388"/>
    </row>
    <row r="1610" ht="12.75">
      <c r="X1610" s="388"/>
    </row>
    <row r="1611" ht="12.75">
      <c r="X1611" s="388"/>
    </row>
    <row r="1612" ht="12.75">
      <c r="X1612" s="388"/>
    </row>
    <row r="1613" ht="12.75">
      <c r="X1613" s="388"/>
    </row>
    <row r="1614" ht="12.75">
      <c r="X1614" s="388"/>
    </row>
    <row r="1615" ht="12.75">
      <c r="X1615" s="388"/>
    </row>
    <row r="1616" ht="12.75">
      <c r="X1616" s="388"/>
    </row>
    <row r="1617" ht="12.75">
      <c r="X1617" s="388"/>
    </row>
    <row r="1618" ht="12.75">
      <c r="X1618" s="388"/>
    </row>
    <row r="1619" ht="12.75">
      <c r="X1619" s="388"/>
    </row>
    <row r="1620" ht="12.75">
      <c r="X1620" s="388"/>
    </row>
    <row r="1621" ht="12.75">
      <c r="X1621" s="388"/>
    </row>
    <row r="1622" ht="12.75">
      <c r="X1622" s="388"/>
    </row>
    <row r="1623" ht="12.75">
      <c r="X1623" s="388"/>
    </row>
    <row r="1624" ht="12.75">
      <c r="X1624" s="388"/>
    </row>
    <row r="1625" ht="12.75">
      <c r="X1625" s="388"/>
    </row>
    <row r="1626" ht="12.75">
      <c r="X1626" s="388"/>
    </row>
    <row r="1627" ht="12.75">
      <c r="X1627" s="388"/>
    </row>
    <row r="1628" ht="12.75">
      <c r="X1628" s="388"/>
    </row>
    <row r="1629" ht="12.75">
      <c r="X1629" s="388"/>
    </row>
    <row r="1630" ht="12.75">
      <c r="X1630" s="388"/>
    </row>
    <row r="1631" ht="12.75">
      <c r="X1631" s="388"/>
    </row>
    <row r="1632" ht="12.75">
      <c r="X1632" s="388"/>
    </row>
    <row r="1633" ht="12.75">
      <c r="X1633" s="388"/>
    </row>
    <row r="1634" ht="12.75">
      <c r="X1634" s="388"/>
    </row>
    <row r="1635" ht="12.75">
      <c r="X1635" s="388"/>
    </row>
    <row r="1636" ht="12.75">
      <c r="X1636" s="388"/>
    </row>
    <row r="1637" ht="12.75">
      <c r="X1637" s="388"/>
    </row>
    <row r="1638" ht="12.75">
      <c r="X1638" s="388"/>
    </row>
    <row r="1639" ht="12.75">
      <c r="X1639" s="388"/>
    </row>
    <row r="1640" ht="12.75">
      <c r="X1640" s="388"/>
    </row>
    <row r="1641" ht="12.75">
      <c r="X1641" s="388"/>
    </row>
    <row r="1642" ht="12.75">
      <c r="X1642" s="388"/>
    </row>
    <row r="1643" ht="12.75">
      <c r="X1643" s="388"/>
    </row>
    <row r="1644" ht="12.75">
      <c r="X1644" s="388"/>
    </row>
    <row r="1645" ht="12.75">
      <c r="X1645" s="388"/>
    </row>
    <row r="1646" ht="12.75">
      <c r="X1646" s="388"/>
    </row>
    <row r="1647" ht="12.75">
      <c r="X1647" s="388"/>
    </row>
    <row r="1648" ht="12.75">
      <c r="X1648" s="388"/>
    </row>
    <row r="1649" ht="12.75">
      <c r="X1649" s="388"/>
    </row>
    <row r="1650" ht="12.75">
      <c r="X1650" s="388"/>
    </row>
    <row r="1651" ht="12.75">
      <c r="X1651" s="388"/>
    </row>
    <row r="1652" ht="12.75">
      <c r="X1652" s="388"/>
    </row>
    <row r="1653" ht="12.75">
      <c r="X1653" s="388"/>
    </row>
    <row r="1654" ht="12.75">
      <c r="X1654" s="388"/>
    </row>
    <row r="1655" ht="12.75">
      <c r="X1655" s="388"/>
    </row>
    <row r="1656" ht="12.75">
      <c r="X1656" s="388"/>
    </row>
    <row r="1657" ht="12.75">
      <c r="X1657" s="388"/>
    </row>
    <row r="1658" ht="12.75">
      <c r="X1658" s="388"/>
    </row>
    <row r="1659" ht="12.75">
      <c r="X1659" s="388"/>
    </row>
    <row r="1660" ht="12.75">
      <c r="X1660" s="388"/>
    </row>
    <row r="1661" ht="12.75">
      <c r="X1661" s="388"/>
    </row>
    <row r="1662" ht="12.75">
      <c r="X1662" s="388"/>
    </row>
    <row r="1663" ht="12.75">
      <c r="X1663" s="388"/>
    </row>
    <row r="1664" ht="12.75">
      <c r="X1664" s="388"/>
    </row>
    <row r="1665" ht="12.75">
      <c r="X1665" s="388"/>
    </row>
    <row r="1666" ht="12.75">
      <c r="X1666" s="388"/>
    </row>
    <row r="1667" ht="12.75">
      <c r="X1667" s="388"/>
    </row>
    <row r="1668" ht="12.75">
      <c r="X1668" s="388"/>
    </row>
    <row r="1669" ht="12.75">
      <c r="X1669" s="388"/>
    </row>
    <row r="1670" ht="12.75">
      <c r="X1670" s="388"/>
    </row>
    <row r="1671" ht="12.75">
      <c r="X1671" s="388"/>
    </row>
    <row r="1672" ht="12.75">
      <c r="X1672" s="388"/>
    </row>
    <row r="1673" ht="12.75">
      <c r="X1673" s="388"/>
    </row>
    <row r="1674" ht="12.75">
      <c r="X1674" s="388"/>
    </row>
    <row r="1675" ht="12.75">
      <c r="X1675" s="388"/>
    </row>
    <row r="1676" ht="12.75">
      <c r="X1676" s="388"/>
    </row>
    <row r="1677" ht="12.75">
      <c r="X1677" s="388"/>
    </row>
    <row r="1678" ht="12.75">
      <c r="X1678" s="388"/>
    </row>
    <row r="1679" ht="12.75">
      <c r="X1679" s="388"/>
    </row>
    <row r="1680" ht="12.75">
      <c r="X1680" s="388"/>
    </row>
    <row r="1681" ht="12.75">
      <c r="X1681" s="388"/>
    </row>
    <row r="1682" ht="12.75">
      <c r="X1682" s="388"/>
    </row>
    <row r="1683" ht="12.75">
      <c r="X1683" s="388"/>
    </row>
    <row r="1684" ht="12.75">
      <c r="X1684" s="388"/>
    </row>
    <row r="1685" ht="12.75">
      <c r="X1685" s="388"/>
    </row>
    <row r="1686" ht="12.75">
      <c r="X1686" s="388"/>
    </row>
    <row r="1687" ht="12.75">
      <c r="X1687" s="388"/>
    </row>
    <row r="1688" ht="12.75">
      <c r="X1688" s="388"/>
    </row>
    <row r="1689" ht="12.75">
      <c r="X1689" s="388"/>
    </row>
    <row r="1690" ht="12.75">
      <c r="X1690" s="388"/>
    </row>
    <row r="1691" ht="12.75">
      <c r="X1691" s="388"/>
    </row>
    <row r="1692" ht="12.75">
      <c r="X1692" s="388"/>
    </row>
    <row r="1693" ht="12.75">
      <c r="X1693" s="388"/>
    </row>
    <row r="1694" ht="12.75">
      <c r="X1694" s="388"/>
    </row>
    <row r="1695" ht="12.75">
      <c r="X1695" s="388"/>
    </row>
    <row r="1696" ht="12.75">
      <c r="X1696" s="388"/>
    </row>
    <row r="1697" ht="12.75">
      <c r="X1697" s="388"/>
    </row>
    <row r="1698" ht="12.75">
      <c r="X1698" s="388"/>
    </row>
    <row r="1699" ht="12.75">
      <c r="X1699" s="388"/>
    </row>
    <row r="1700" ht="12.75">
      <c r="X1700" s="388"/>
    </row>
    <row r="1701" ht="12.75">
      <c r="X1701" s="388"/>
    </row>
    <row r="1702" ht="12.75">
      <c r="X1702" s="388"/>
    </row>
    <row r="1703" ht="12.75">
      <c r="X1703" s="388"/>
    </row>
    <row r="1704" ht="12.75">
      <c r="X1704" s="388"/>
    </row>
    <row r="1705" ht="12.75">
      <c r="X1705" s="388"/>
    </row>
    <row r="1706" ht="12.75">
      <c r="X1706" s="388"/>
    </row>
    <row r="1707" ht="12.75">
      <c r="X1707" s="388"/>
    </row>
    <row r="1708" ht="12.75">
      <c r="X1708" s="388"/>
    </row>
    <row r="1709" ht="12.75">
      <c r="X1709" s="388"/>
    </row>
    <row r="1710" ht="12.75">
      <c r="X1710" s="388"/>
    </row>
    <row r="1711" ht="12.75">
      <c r="X1711" s="388"/>
    </row>
    <row r="1712" ht="12.75">
      <c r="X1712" s="388"/>
    </row>
    <row r="1713" ht="12.75">
      <c r="X1713" s="388"/>
    </row>
    <row r="1714" ht="12.75">
      <c r="X1714" s="388"/>
    </row>
    <row r="1715" ht="12.75">
      <c r="X1715" s="388"/>
    </row>
    <row r="1716" ht="12.75">
      <c r="X1716" s="388"/>
    </row>
    <row r="1717" ht="12.75">
      <c r="X1717" s="388"/>
    </row>
    <row r="1718" ht="12.75">
      <c r="X1718" s="388"/>
    </row>
    <row r="1719" ht="12.75">
      <c r="X1719" s="388"/>
    </row>
    <row r="1720" ht="12.75">
      <c r="X1720" s="388"/>
    </row>
    <row r="1721" ht="12.75">
      <c r="X1721" s="388"/>
    </row>
    <row r="1722" ht="12.75">
      <c r="X1722" s="388"/>
    </row>
    <row r="1723" ht="12.75">
      <c r="X1723" s="388"/>
    </row>
    <row r="1724" ht="12.75">
      <c r="X1724" s="388"/>
    </row>
    <row r="1725" ht="12.75">
      <c r="X1725" s="388"/>
    </row>
    <row r="1726" ht="12.75">
      <c r="X1726" s="388"/>
    </row>
    <row r="1727" ht="12.75">
      <c r="X1727" s="388"/>
    </row>
    <row r="1728" ht="12.75">
      <c r="X1728" s="388"/>
    </row>
    <row r="1729" ht="12.75">
      <c r="X1729" s="388"/>
    </row>
    <row r="1730" ht="12.75">
      <c r="X1730" s="388"/>
    </row>
    <row r="1731" ht="12.75">
      <c r="X1731" s="388"/>
    </row>
    <row r="1732" ht="12.75">
      <c r="X1732" s="388"/>
    </row>
    <row r="1733" ht="12.75">
      <c r="X1733" s="388"/>
    </row>
    <row r="1734" ht="12.75">
      <c r="X1734" s="388"/>
    </row>
    <row r="1735" ht="12.75">
      <c r="X1735" s="388"/>
    </row>
    <row r="1736" ht="12.75">
      <c r="X1736" s="388"/>
    </row>
    <row r="1737" ht="12.75">
      <c r="X1737" s="388"/>
    </row>
    <row r="1738" ht="12.75">
      <c r="X1738" s="388"/>
    </row>
    <row r="1739" ht="12.75">
      <c r="X1739" s="388"/>
    </row>
    <row r="1740" ht="12.75">
      <c r="X1740" s="388"/>
    </row>
    <row r="1741" ht="12.75">
      <c r="X1741" s="388"/>
    </row>
    <row r="1742" ht="12.75">
      <c r="X1742" s="388"/>
    </row>
    <row r="1743" ht="12.75">
      <c r="X1743" s="388"/>
    </row>
    <row r="1744" ht="12.75">
      <c r="X1744" s="388"/>
    </row>
    <row r="1745" ht="12.75">
      <c r="X1745" s="388"/>
    </row>
    <row r="1746" ht="12.75">
      <c r="X1746" s="388"/>
    </row>
    <row r="1747" ht="12.75">
      <c r="X1747" s="388"/>
    </row>
    <row r="1748" ht="12.75">
      <c r="X1748" s="388"/>
    </row>
    <row r="1749" ht="12.75">
      <c r="X1749" s="388"/>
    </row>
    <row r="1750" ht="12.75">
      <c r="X1750" s="388"/>
    </row>
    <row r="1751" ht="12.75">
      <c r="X1751" s="388"/>
    </row>
    <row r="1752" ht="12.75">
      <c r="X1752" s="388"/>
    </row>
    <row r="1753" ht="12.75">
      <c r="X1753" s="388"/>
    </row>
    <row r="1754" ht="12.75">
      <c r="X1754" s="388"/>
    </row>
    <row r="1755" ht="12.75">
      <c r="X1755" s="388"/>
    </row>
    <row r="1756" ht="12.75">
      <c r="X1756" s="388"/>
    </row>
    <row r="1757" ht="12.75">
      <c r="X1757" s="388"/>
    </row>
    <row r="1758" ht="12.75">
      <c r="X1758" s="388"/>
    </row>
    <row r="1759" ht="12.75">
      <c r="X1759" s="388"/>
    </row>
    <row r="1760" ht="12.75">
      <c r="X1760" s="388"/>
    </row>
    <row r="1761" ht="12.75">
      <c r="X1761" s="388"/>
    </row>
    <row r="1762" ht="12.75">
      <c r="X1762" s="388"/>
    </row>
    <row r="1763" ht="12.75">
      <c r="X1763" s="388"/>
    </row>
    <row r="1764" ht="12.75">
      <c r="X1764" s="388"/>
    </row>
    <row r="1765" ht="12.75">
      <c r="X1765" s="388"/>
    </row>
    <row r="1766" ht="12.75">
      <c r="X1766" s="388"/>
    </row>
    <row r="1767" ht="12.75">
      <c r="X1767" s="388"/>
    </row>
    <row r="1768" ht="12.75">
      <c r="X1768" s="388"/>
    </row>
    <row r="1769" ht="12.75">
      <c r="X1769" s="388"/>
    </row>
    <row r="1770" ht="12.75">
      <c r="X1770" s="388"/>
    </row>
    <row r="1771" ht="12.75">
      <c r="X1771" s="388"/>
    </row>
    <row r="1772" ht="12.75">
      <c r="X1772" s="388"/>
    </row>
    <row r="1773" ht="12.75">
      <c r="X1773" s="388"/>
    </row>
    <row r="1774" ht="12.75">
      <c r="X1774" s="388"/>
    </row>
    <row r="1775" ht="12.75">
      <c r="X1775" s="388"/>
    </row>
    <row r="1776" ht="12.75">
      <c r="X1776" s="388"/>
    </row>
    <row r="1777" ht="12.75">
      <c r="X1777" s="388"/>
    </row>
    <row r="1778" ht="12.75">
      <c r="X1778" s="388"/>
    </row>
    <row r="1779" ht="12.75">
      <c r="X1779" s="388"/>
    </row>
    <row r="1780" ht="12.75">
      <c r="X1780" s="388"/>
    </row>
    <row r="1781" ht="12.75">
      <c r="X1781" s="388"/>
    </row>
    <row r="1782" ht="12.75">
      <c r="X1782" s="388"/>
    </row>
    <row r="1783" ht="12.75">
      <c r="X1783" s="388"/>
    </row>
    <row r="1784" ht="12.75">
      <c r="X1784" s="388"/>
    </row>
    <row r="1785" ht="12.75">
      <c r="X1785" s="388"/>
    </row>
    <row r="1786" ht="12.75">
      <c r="X1786" s="388"/>
    </row>
    <row r="1787" ht="12.75">
      <c r="X1787" s="388"/>
    </row>
    <row r="1788" ht="12.75">
      <c r="X1788" s="388"/>
    </row>
    <row r="1789" ht="12.75">
      <c r="X1789" s="388"/>
    </row>
    <row r="1790" ht="12.75">
      <c r="X1790" s="388"/>
    </row>
    <row r="1791" ht="12.75">
      <c r="X1791" s="388"/>
    </row>
    <row r="1792" ht="12.75">
      <c r="X1792" s="388"/>
    </row>
    <row r="1793" ht="12.75">
      <c r="X1793" s="388"/>
    </row>
    <row r="1794" ht="12.75">
      <c r="X1794" s="388"/>
    </row>
    <row r="1795" ht="12.75">
      <c r="X1795" s="388"/>
    </row>
    <row r="1796" ht="12.75">
      <c r="X1796" s="388"/>
    </row>
    <row r="1797" ht="12.75">
      <c r="X1797" s="388"/>
    </row>
    <row r="1798" ht="12.75">
      <c r="X1798" s="388"/>
    </row>
    <row r="1799" ht="12.75">
      <c r="X1799" s="388"/>
    </row>
    <row r="1800" ht="12.75">
      <c r="X1800" s="388"/>
    </row>
    <row r="1801" ht="12.75">
      <c r="X1801" s="388"/>
    </row>
    <row r="1802" ht="12.75">
      <c r="X1802" s="388"/>
    </row>
    <row r="1803" ht="12.75">
      <c r="X1803" s="388"/>
    </row>
    <row r="1804" ht="12.75">
      <c r="X1804" s="388"/>
    </row>
    <row r="1805" ht="12.75">
      <c r="X1805" s="388"/>
    </row>
    <row r="1806" ht="12.75">
      <c r="X1806" s="388"/>
    </row>
    <row r="1807" ht="12.75">
      <c r="X1807" s="388"/>
    </row>
    <row r="1808" ht="12.75">
      <c r="X1808" s="388"/>
    </row>
    <row r="1809" ht="12.75">
      <c r="X1809" s="388"/>
    </row>
    <row r="1810" ht="12.75">
      <c r="X1810" s="388"/>
    </row>
    <row r="1811" ht="12.75">
      <c r="X1811" s="388"/>
    </row>
    <row r="1812" ht="12.75">
      <c r="X1812" s="388"/>
    </row>
    <row r="1813" ht="12.75">
      <c r="X1813" s="388"/>
    </row>
    <row r="1814" ht="12.75">
      <c r="X1814" s="388"/>
    </row>
    <row r="1815" ht="12.75">
      <c r="X1815" s="388"/>
    </row>
    <row r="1816" ht="12.75">
      <c r="X1816" s="388"/>
    </row>
    <row r="1817" ht="12.75">
      <c r="X1817" s="388"/>
    </row>
    <row r="1818" ht="12.75">
      <c r="X1818" s="388"/>
    </row>
    <row r="1819" ht="12.75">
      <c r="X1819" s="388"/>
    </row>
    <row r="1820" ht="12.75">
      <c r="X1820" s="388"/>
    </row>
    <row r="1821" ht="12.75">
      <c r="X1821" s="388"/>
    </row>
    <row r="1822" ht="12.75">
      <c r="X1822" s="388"/>
    </row>
    <row r="1823" ht="12.75">
      <c r="X1823" s="388"/>
    </row>
    <row r="1824" ht="12.75">
      <c r="X1824" s="388"/>
    </row>
    <row r="1825" ht="12.75">
      <c r="X1825" s="388"/>
    </row>
    <row r="1826" ht="12.75">
      <c r="X1826" s="388"/>
    </row>
    <row r="1827" ht="12.75">
      <c r="X1827" s="388"/>
    </row>
    <row r="1828" ht="12.75">
      <c r="X1828" s="388"/>
    </row>
    <row r="1829" ht="12.75">
      <c r="X1829" s="388"/>
    </row>
    <row r="1830" ht="12.75">
      <c r="X1830" s="388"/>
    </row>
    <row r="1831" ht="12.75">
      <c r="X1831" s="388"/>
    </row>
    <row r="1832" ht="12.75">
      <c r="X1832" s="388"/>
    </row>
    <row r="1833" ht="12.75">
      <c r="X1833" s="388"/>
    </row>
    <row r="1834" ht="12.75">
      <c r="X1834" s="388"/>
    </row>
    <row r="1835" ht="12.75">
      <c r="X1835" s="388"/>
    </row>
    <row r="1836" ht="12.75">
      <c r="X1836" s="388"/>
    </row>
    <row r="1837" ht="12.75">
      <c r="X1837" s="388"/>
    </row>
    <row r="1838" ht="12.75">
      <c r="X1838" s="388"/>
    </row>
    <row r="1839" ht="12.75">
      <c r="X1839" s="388"/>
    </row>
    <row r="1840" ht="12.75">
      <c r="X1840" s="388"/>
    </row>
    <row r="1841" ht="12.75">
      <c r="X1841" s="388"/>
    </row>
    <row r="1842" ht="12.75">
      <c r="X1842" s="388"/>
    </row>
    <row r="1843" ht="12.75">
      <c r="X1843" s="388"/>
    </row>
    <row r="1844" ht="12.75">
      <c r="X1844" s="388"/>
    </row>
    <row r="1845" ht="12.75">
      <c r="X1845" s="388"/>
    </row>
    <row r="1846" ht="12.75">
      <c r="X1846" s="388"/>
    </row>
    <row r="1847" ht="12.75">
      <c r="X1847" s="388"/>
    </row>
    <row r="1848" ht="12.75">
      <c r="X1848" s="388"/>
    </row>
    <row r="1849" ht="12.75">
      <c r="X1849" s="388"/>
    </row>
    <row r="1850" ht="12.75">
      <c r="X1850" s="388"/>
    </row>
    <row r="1851" ht="12.75">
      <c r="X1851" s="388"/>
    </row>
    <row r="1852" ht="12.75">
      <c r="X1852" s="388"/>
    </row>
    <row r="1853" ht="12.75">
      <c r="X1853" s="388"/>
    </row>
    <row r="1854" ht="12.75">
      <c r="X1854" s="388"/>
    </row>
    <row r="1855" ht="12.75">
      <c r="X1855" s="388"/>
    </row>
    <row r="1856" ht="12.75">
      <c r="X1856" s="388"/>
    </row>
    <row r="1857" ht="12.75">
      <c r="X1857" s="388"/>
    </row>
    <row r="1858" ht="12.75">
      <c r="X1858" s="388"/>
    </row>
    <row r="1859" ht="12.75">
      <c r="X1859" s="388"/>
    </row>
    <row r="1860" ht="12.75">
      <c r="X1860" s="388"/>
    </row>
    <row r="1861" ht="12.75">
      <c r="X1861" s="388"/>
    </row>
    <row r="1862" ht="12.75">
      <c r="X1862" s="388"/>
    </row>
    <row r="1863" ht="12.75">
      <c r="X1863" s="388"/>
    </row>
    <row r="1864" ht="12.75">
      <c r="X1864" s="388"/>
    </row>
    <row r="1865" ht="12.75">
      <c r="X1865" s="388"/>
    </row>
    <row r="1866" ht="12.75">
      <c r="X1866" s="388"/>
    </row>
    <row r="1867" ht="12.75">
      <c r="X1867" s="388"/>
    </row>
    <row r="1868" ht="12.75">
      <c r="X1868" s="388"/>
    </row>
    <row r="1869" ht="12.75">
      <c r="X1869" s="388"/>
    </row>
    <row r="1870" ht="12.75">
      <c r="X1870" s="388"/>
    </row>
    <row r="1871" ht="12.75">
      <c r="X1871" s="388"/>
    </row>
    <row r="1872" ht="12.75">
      <c r="X1872" s="388"/>
    </row>
    <row r="1873" ht="12.75">
      <c r="X1873" s="388"/>
    </row>
    <row r="1874" ht="12.75">
      <c r="X1874" s="388"/>
    </row>
    <row r="1875" ht="12.75">
      <c r="X1875" s="388"/>
    </row>
    <row r="1876" ht="12.75">
      <c r="X1876" s="388"/>
    </row>
    <row r="1877" ht="12.75">
      <c r="X1877" s="388"/>
    </row>
    <row r="1878" ht="12.75">
      <c r="X1878" s="388"/>
    </row>
    <row r="1879" ht="12.75">
      <c r="X1879" s="388"/>
    </row>
    <row r="1880" ht="12.75">
      <c r="X1880" s="388"/>
    </row>
    <row r="1881" ht="12.75">
      <c r="X1881" s="388"/>
    </row>
    <row r="1882" ht="12.75">
      <c r="X1882" s="388"/>
    </row>
    <row r="1883" ht="12.75">
      <c r="X1883" s="388"/>
    </row>
    <row r="1884" ht="12.75">
      <c r="X1884" s="388"/>
    </row>
    <row r="1885" ht="12.75">
      <c r="X1885" s="388"/>
    </row>
    <row r="1886" ht="12.75">
      <c r="X1886" s="388"/>
    </row>
    <row r="1887" ht="12.75">
      <c r="X1887" s="388"/>
    </row>
    <row r="1888" ht="12.75">
      <c r="X1888" s="388"/>
    </row>
    <row r="1889" ht="12.75">
      <c r="X1889" s="388"/>
    </row>
    <row r="1890" ht="12.75">
      <c r="X1890" s="388"/>
    </row>
    <row r="1891" ht="12.75">
      <c r="X1891" s="388"/>
    </row>
    <row r="1892" ht="12.75">
      <c r="X1892" s="388"/>
    </row>
    <row r="1893" ht="12.75">
      <c r="X1893" s="388"/>
    </row>
    <row r="1894" ht="12.75">
      <c r="X1894" s="388"/>
    </row>
    <row r="1895" ht="12.75">
      <c r="X1895" s="388"/>
    </row>
    <row r="1896" ht="12.75">
      <c r="X1896" s="388"/>
    </row>
    <row r="1897" ht="12.75">
      <c r="X1897" s="388"/>
    </row>
    <row r="1898" ht="12.75">
      <c r="X1898" s="388"/>
    </row>
    <row r="1899" ht="12.75">
      <c r="X1899" s="388"/>
    </row>
    <row r="1900" ht="12.75">
      <c r="X1900" s="388"/>
    </row>
    <row r="1901" ht="12.75">
      <c r="X1901" s="388"/>
    </row>
    <row r="1902" ht="12.75">
      <c r="X1902" s="388"/>
    </row>
    <row r="1903" ht="12.75">
      <c r="X1903" s="388"/>
    </row>
    <row r="1904" ht="12.75">
      <c r="X1904" s="388"/>
    </row>
    <row r="1905" ht="12.75">
      <c r="X1905" s="388"/>
    </row>
    <row r="1906" ht="12.75">
      <c r="X1906" s="388"/>
    </row>
    <row r="1907" ht="12.75">
      <c r="X1907" s="388"/>
    </row>
    <row r="1908" ht="12.75">
      <c r="X1908" s="388"/>
    </row>
    <row r="1909" ht="12.75">
      <c r="X1909" s="388"/>
    </row>
    <row r="1910" ht="12.75">
      <c r="X1910" s="388"/>
    </row>
    <row r="1911" ht="12.75">
      <c r="X1911" s="388"/>
    </row>
    <row r="1912" ht="12.75">
      <c r="X1912" s="388"/>
    </row>
    <row r="1913" ht="12.75">
      <c r="X1913" s="388"/>
    </row>
    <row r="1914" ht="12.75">
      <c r="X1914" s="388"/>
    </row>
    <row r="1915" ht="12.75">
      <c r="X1915" s="388"/>
    </row>
    <row r="1916" ht="12.75">
      <c r="X1916" s="388"/>
    </row>
    <row r="1917" ht="12.75">
      <c r="X1917" s="388"/>
    </row>
    <row r="1918" ht="12.75">
      <c r="X1918" s="388"/>
    </row>
    <row r="1919" ht="12.75">
      <c r="X1919" s="388"/>
    </row>
    <row r="1920" ht="12.75">
      <c r="X1920" s="388"/>
    </row>
    <row r="1921" ht="12.75">
      <c r="X1921" s="388"/>
    </row>
    <row r="1922" ht="12.75">
      <c r="X1922" s="388"/>
    </row>
    <row r="1923" ht="12.75">
      <c r="X1923" s="388"/>
    </row>
    <row r="1924" ht="12.75">
      <c r="X1924" s="388"/>
    </row>
    <row r="1925" ht="12.75">
      <c r="X1925" s="388"/>
    </row>
    <row r="1926" ht="12.75">
      <c r="X1926" s="388"/>
    </row>
    <row r="1927" ht="12.75">
      <c r="X1927" s="388"/>
    </row>
    <row r="1928" ht="12.75">
      <c r="X1928" s="388"/>
    </row>
    <row r="1929" ht="12.75">
      <c r="X1929" s="388"/>
    </row>
    <row r="1930" ht="12.75">
      <c r="X1930" s="388"/>
    </row>
    <row r="1931" ht="12.75">
      <c r="X1931" s="388"/>
    </row>
    <row r="1932" ht="12.75">
      <c r="X1932" s="388"/>
    </row>
    <row r="1933" ht="12.75">
      <c r="X1933" s="388"/>
    </row>
    <row r="1934" ht="12.75">
      <c r="X1934" s="388"/>
    </row>
    <row r="1935" ht="12.75">
      <c r="X1935" s="388"/>
    </row>
    <row r="1936" ht="12.75">
      <c r="X1936" s="388"/>
    </row>
    <row r="1937" ht="12.75">
      <c r="X1937" s="388"/>
    </row>
    <row r="1938" ht="12.75">
      <c r="X1938" s="388"/>
    </row>
    <row r="1939" ht="12.75">
      <c r="X1939" s="388"/>
    </row>
    <row r="1940" ht="12.75">
      <c r="X1940" s="388"/>
    </row>
    <row r="1941" ht="12.75">
      <c r="X1941" s="388"/>
    </row>
    <row r="1942" ht="12.75">
      <c r="X1942" s="388"/>
    </row>
    <row r="1943" ht="12.75">
      <c r="X1943" s="388"/>
    </row>
    <row r="1944" ht="12.75">
      <c r="X1944" s="388"/>
    </row>
    <row r="1945" ht="12.75">
      <c r="X1945" s="388"/>
    </row>
    <row r="1946" ht="12.75">
      <c r="X1946" s="388"/>
    </row>
    <row r="1947" ht="12.75">
      <c r="X1947" s="388"/>
    </row>
    <row r="1948" ht="12.75">
      <c r="X1948" s="388"/>
    </row>
    <row r="1949" ht="12.75">
      <c r="X1949" s="388"/>
    </row>
    <row r="1950" ht="12.75">
      <c r="X1950" s="388"/>
    </row>
    <row r="1951" ht="12.75">
      <c r="X1951" s="388"/>
    </row>
    <row r="1952" ht="12.75">
      <c r="X1952" s="388"/>
    </row>
    <row r="1953" ht="12.75">
      <c r="X1953" s="388"/>
    </row>
    <row r="1954" ht="12.75">
      <c r="X1954" s="388"/>
    </row>
    <row r="1955" ht="12.75">
      <c r="X1955" s="388"/>
    </row>
    <row r="1956" ht="12.75">
      <c r="X1956" s="388"/>
    </row>
    <row r="1957" ht="12.75">
      <c r="X1957" s="388"/>
    </row>
    <row r="1958" ht="12.75">
      <c r="X1958" s="388"/>
    </row>
    <row r="1959" ht="12.75">
      <c r="X1959" s="388"/>
    </row>
    <row r="1960" ht="12.75">
      <c r="X1960" s="388"/>
    </row>
    <row r="1961" ht="12.75">
      <c r="X1961" s="388"/>
    </row>
    <row r="1962" ht="12.75">
      <c r="X1962" s="388"/>
    </row>
    <row r="1963" ht="12.75">
      <c r="X1963" s="388"/>
    </row>
    <row r="1964" ht="12.75">
      <c r="X1964" s="388"/>
    </row>
    <row r="1965" ht="12.75">
      <c r="X1965" s="388"/>
    </row>
    <row r="1966" ht="12.75">
      <c r="X1966" s="388"/>
    </row>
    <row r="1967" ht="12.75">
      <c r="X1967" s="388"/>
    </row>
    <row r="1968" ht="12.75">
      <c r="X1968" s="388"/>
    </row>
    <row r="1969" ht="12.75">
      <c r="X1969" s="388"/>
    </row>
    <row r="1970" ht="12.75">
      <c r="X1970" s="388"/>
    </row>
    <row r="1971" ht="12.75">
      <c r="X1971" s="388"/>
    </row>
    <row r="1972" ht="12.75">
      <c r="X1972" s="388"/>
    </row>
    <row r="1973" ht="12.75">
      <c r="X1973" s="388"/>
    </row>
    <row r="1974" ht="12.75">
      <c r="X1974" s="388"/>
    </row>
    <row r="1975" ht="12.75">
      <c r="X1975" s="388"/>
    </row>
    <row r="1976" ht="12.75">
      <c r="X1976" s="388"/>
    </row>
    <row r="1977" ht="12.75">
      <c r="X1977" s="388"/>
    </row>
    <row r="1978" ht="12.75">
      <c r="X1978" s="388"/>
    </row>
    <row r="1979" ht="12.75">
      <c r="X1979" s="388"/>
    </row>
    <row r="1980" ht="12.75">
      <c r="X1980" s="388"/>
    </row>
    <row r="1981" ht="12.75">
      <c r="X1981" s="388"/>
    </row>
    <row r="1982" ht="12.75">
      <c r="X1982" s="388"/>
    </row>
    <row r="1983" ht="12.75">
      <c r="X1983" s="388"/>
    </row>
    <row r="1984" ht="12.75">
      <c r="X1984" s="388"/>
    </row>
    <row r="1985" ht="12.75">
      <c r="X1985" s="388"/>
    </row>
    <row r="1986" ht="12.75">
      <c r="X1986" s="388"/>
    </row>
    <row r="1987" ht="12.75">
      <c r="X1987" s="388"/>
    </row>
    <row r="1988" ht="12.75">
      <c r="X1988" s="388"/>
    </row>
    <row r="1989" ht="12.75">
      <c r="X1989" s="388"/>
    </row>
    <row r="1990" ht="12.75">
      <c r="X1990" s="388"/>
    </row>
    <row r="1991" ht="12.75">
      <c r="X1991" s="388"/>
    </row>
    <row r="1992" ht="12.75">
      <c r="X1992" s="388"/>
    </row>
    <row r="1993" ht="12.75">
      <c r="X1993" s="388"/>
    </row>
    <row r="1994" ht="12.75">
      <c r="X1994" s="388"/>
    </row>
    <row r="1995" ht="12.75">
      <c r="X1995" s="388"/>
    </row>
    <row r="1996" ht="12.75">
      <c r="X1996" s="388"/>
    </row>
    <row r="1997" ht="12.75">
      <c r="X1997" s="388"/>
    </row>
    <row r="1998" ht="12.75">
      <c r="X1998" s="388"/>
    </row>
    <row r="1999" ht="12.75">
      <c r="X1999" s="388"/>
    </row>
    <row r="2000" ht="12.75">
      <c r="X2000" s="388"/>
    </row>
    <row r="2001" ht="12.75">
      <c r="X2001" s="388"/>
    </row>
    <row r="2002" ht="12.75">
      <c r="X2002" s="388"/>
    </row>
    <row r="2003" ht="12.75">
      <c r="X2003" s="388"/>
    </row>
    <row r="2004" ht="12.75">
      <c r="X2004" s="388"/>
    </row>
    <row r="2005" ht="12.75">
      <c r="X2005" s="388"/>
    </row>
    <row r="2006" ht="12.75">
      <c r="X2006" s="388"/>
    </row>
    <row r="2007" ht="12.75">
      <c r="X2007" s="388"/>
    </row>
    <row r="2008" ht="12.75">
      <c r="X2008" s="388"/>
    </row>
    <row r="2009" ht="12.75">
      <c r="X2009" s="388"/>
    </row>
    <row r="2010" ht="12.75">
      <c r="X2010" s="388"/>
    </row>
    <row r="2011" ht="12.75">
      <c r="X2011" s="388"/>
    </row>
    <row r="2012" ht="12.75">
      <c r="X2012" s="388"/>
    </row>
    <row r="2013" ht="12.75">
      <c r="X2013" s="388"/>
    </row>
    <row r="2014" ht="12.75">
      <c r="X2014" s="388"/>
    </row>
    <row r="2015" ht="12.75">
      <c r="X2015" s="388"/>
    </row>
    <row r="2016" ht="12.75">
      <c r="X2016" s="388"/>
    </row>
    <row r="2017" ht="12.75">
      <c r="X2017" s="388"/>
    </row>
    <row r="2018" ht="12.75">
      <c r="X2018" s="388"/>
    </row>
    <row r="2019" ht="12.75">
      <c r="X2019" s="388"/>
    </row>
    <row r="2020" ht="12.75">
      <c r="X2020" s="388"/>
    </row>
    <row r="2021" ht="12.75">
      <c r="X2021" s="388"/>
    </row>
    <row r="2022" ht="12.75">
      <c r="X2022" s="388"/>
    </row>
    <row r="2023" ht="12.75">
      <c r="X2023" s="388"/>
    </row>
    <row r="2024" ht="12.75">
      <c r="X2024" s="388"/>
    </row>
    <row r="2025" ht="12.75">
      <c r="X2025" s="388"/>
    </row>
    <row r="2026" ht="12.75">
      <c r="X2026" s="388"/>
    </row>
    <row r="2027" ht="12.75">
      <c r="X2027" s="388"/>
    </row>
    <row r="2028" ht="12.75">
      <c r="X2028" s="388"/>
    </row>
    <row r="2029" ht="12.75">
      <c r="X2029" s="388"/>
    </row>
    <row r="2030" ht="12.75">
      <c r="X2030" s="388"/>
    </row>
    <row r="2031" ht="12.75">
      <c r="X2031" s="388"/>
    </row>
    <row r="2032" ht="12.75">
      <c r="X2032" s="388"/>
    </row>
    <row r="2033" ht="12.75">
      <c r="X2033" s="388"/>
    </row>
    <row r="2034" ht="12.75">
      <c r="X2034" s="388"/>
    </row>
    <row r="2035" ht="12.75">
      <c r="X2035" s="388"/>
    </row>
    <row r="2036" ht="12.75">
      <c r="X2036" s="388"/>
    </row>
    <row r="2037" ht="12.75">
      <c r="X2037" s="388"/>
    </row>
    <row r="2038" ht="12.75">
      <c r="X2038" s="388"/>
    </row>
    <row r="2039" ht="12.75">
      <c r="X2039" s="388"/>
    </row>
    <row r="2040" ht="12.75">
      <c r="X2040" s="388"/>
    </row>
    <row r="2041" ht="12.75">
      <c r="X2041" s="388"/>
    </row>
    <row r="2042" ht="12.75">
      <c r="X2042" s="388"/>
    </row>
    <row r="2043" ht="12.75">
      <c r="X2043" s="388"/>
    </row>
    <row r="2044" ht="12.75">
      <c r="X2044" s="388"/>
    </row>
    <row r="2045" ht="12.75">
      <c r="X2045" s="388"/>
    </row>
    <row r="2046" ht="12.75">
      <c r="X2046" s="388"/>
    </row>
    <row r="2047" ht="12.75">
      <c r="X2047" s="388"/>
    </row>
    <row r="2048" ht="12.75">
      <c r="X2048" s="388"/>
    </row>
    <row r="2049" ht="12.75">
      <c r="X2049" s="388"/>
    </row>
    <row r="2050" ht="12.75">
      <c r="X2050" s="388"/>
    </row>
    <row r="2051" ht="12.75">
      <c r="X2051" s="388"/>
    </row>
    <row r="2052" ht="12.75">
      <c r="X2052" s="388"/>
    </row>
    <row r="2053" ht="12.75">
      <c r="X2053" s="388"/>
    </row>
    <row r="2054" ht="12.75">
      <c r="X2054" s="388"/>
    </row>
    <row r="2055" ht="12.75">
      <c r="X2055" s="388"/>
    </row>
    <row r="2056" ht="12.75">
      <c r="X2056" s="388"/>
    </row>
    <row r="2057" ht="12.75">
      <c r="X2057" s="388"/>
    </row>
    <row r="2058" ht="12.75">
      <c r="X2058" s="388"/>
    </row>
    <row r="2059" ht="12.75">
      <c r="X2059" s="388"/>
    </row>
    <row r="2060" ht="12.75">
      <c r="X2060" s="388"/>
    </row>
    <row r="2061" ht="12.75">
      <c r="X2061" s="388"/>
    </row>
    <row r="2062" ht="12.75">
      <c r="X2062" s="388"/>
    </row>
    <row r="2063" ht="12.75">
      <c r="X2063" s="388"/>
    </row>
    <row r="2064" ht="12.75">
      <c r="X2064" s="388"/>
    </row>
    <row r="2065" ht="12.75">
      <c r="X2065" s="388"/>
    </row>
    <row r="2066" ht="12.75">
      <c r="X2066" s="388"/>
    </row>
    <row r="2067" ht="12.75">
      <c r="X2067" s="388"/>
    </row>
    <row r="2068" ht="12.75">
      <c r="X2068" s="388"/>
    </row>
    <row r="2069" ht="12.75">
      <c r="X2069" s="388"/>
    </row>
    <row r="2070" ht="12.75">
      <c r="X2070" s="388"/>
    </row>
    <row r="2071" ht="12.75">
      <c r="X2071" s="388"/>
    </row>
    <row r="2072" ht="12.75">
      <c r="X2072" s="388"/>
    </row>
    <row r="2073" ht="12.75">
      <c r="X2073" s="388"/>
    </row>
    <row r="2074" ht="12.75">
      <c r="X2074" s="388"/>
    </row>
    <row r="2075" ht="12.75">
      <c r="X2075" s="388"/>
    </row>
    <row r="2076" ht="12.75">
      <c r="X2076" s="388"/>
    </row>
    <row r="2077" ht="12.75">
      <c r="X2077" s="388"/>
    </row>
    <row r="2078" ht="12.75">
      <c r="X2078" s="388"/>
    </row>
    <row r="2079" ht="12.75">
      <c r="X2079" s="388"/>
    </row>
    <row r="2080" ht="12.75">
      <c r="X2080" s="388"/>
    </row>
    <row r="2081" ht="12.75">
      <c r="X2081" s="388"/>
    </row>
    <row r="2082" ht="12.75">
      <c r="X2082" s="388"/>
    </row>
    <row r="2083" ht="12.75">
      <c r="X2083" s="388"/>
    </row>
    <row r="2084" ht="12.75">
      <c r="X2084" s="388"/>
    </row>
    <row r="2085" ht="12.75">
      <c r="X2085" s="388"/>
    </row>
    <row r="2086" ht="12.75">
      <c r="X2086" s="388"/>
    </row>
    <row r="2087" ht="12.75">
      <c r="X2087" s="388"/>
    </row>
    <row r="2088" ht="12.75">
      <c r="X2088" s="388"/>
    </row>
    <row r="2089" ht="12.75">
      <c r="X2089" s="388"/>
    </row>
    <row r="2090" ht="12.75">
      <c r="X2090" s="388"/>
    </row>
    <row r="2091" ht="12.75">
      <c r="X2091" s="388"/>
    </row>
    <row r="2092" ht="12.75">
      <c r="X2092" s="388"/>
    </row>
    <row r="2093" ht="12.75">
      <c r="X2093" s="388"/>
    </row>
    <row r="2094" ht="12.75">
      <c r="X2094" s="388"/>
    </row>
    <row r="2095" ht="12.75">
      <c r="X2095" s="388"/>
    </row>
    <row r="2096" ht="12.75">
      <c r="X2096" s="388"/>
    </row>
    <row r="2097" ht="12.75">
      <c r="X2097" s="388"/>
    </row>
    <row r="2098" ht="12.75">
      <c r="X2098" s="388"/>
    </row>
    <row r="2099" ht="12.75">
      <c r="X2099" s="388"/>
    </row>
    <row r="2100" ht="12.75">
      <c r="X2100" s="388"/>
    </row>
    <row r="2101" ht="12.75">
      <c r="X2101" s="388"/>
    </row>
    <row r="2102" ht="12.75">
      <c r="X2102" s="388"/>
    </row>
    <row r="2103" ht="12.75">
      <c r="X2103" s="388"/>
    </row>
    <row r="2104" ht="12.75">
      <c r="X2104" s="388"/>
    </row>
    <row r="2105" ht="12.75">
      <c r="X2105" s="388"/>
    </row>
    <row r="2106" ht="12.75">
      <c r="X2106" s="388"/>
    </row>
    <row r="2107" ht="12.75">
      <c r="X2107" s="388"/>
    </row>
    <row r="2108" ht="12.75">
      <c r="X2108" s="388"/>
    </row>
    <row r="2109" ht="12.75">
      <c r="X2109" s="388"/>
    </row>
    <row r="2110" ht="12.75">
      <c r="X2110" s="388"/>
    </row>
    <row r="2111" ht="12.75">
      <c r="X2111" s="388"/>
    </row>
    <row r="2112" ht="12.75">
      <c r="X2112" s="388"/>
    </row>
    <row r="2113" ht="12.75">
      <c r="X2113" s="388"/>
    </row>
    <row r="2114" ht="12.75">
      <c r="X2114" s="388"/>
    </row>
    <row r="2115" ht="12.75">
      <c r="X2115" s="388"/>
    </row>
    <row r="2116" ht="12.75">
      <c r="X2116" s="388"/>
    </row>
    <row r="2117" ht="12.75">
      <c r="X2117" s="388"/>
    </row>
    <row r="2118" ht="12.75">
      <c r="X2118" s="388"/>
    </row>
    <row r="2119" ht="12.75">
      <c r="X2119" s="388"/>
    </row>
    <row r="2120" ht="12.75">
      <c r="X2120" s="388"/>
    </row>
    <row r="2121" ht="12.75">
      <c r="X2121" s="388"/>
    </row>
    <row r="2122" ht="12.75">
      <c r="X2122" s="388"/>
    </row>
    <row r="2123" ht="12.75">
      <c r="X2123" s="388"/>
    </row>
    <row r="2124" ht="12.75">
      <c r="X2124" s="388"/>
    </row>
    <row r="2125" ht="12.75">
      <c r="X2125" s="388"/>
    </row>
    <row r="2126" ht="12.75">
      <c r="X2126" s="388"/>
    </row>
    <row r="2127" ht="12.75">
      <c r="X2127" s="388"/>
    </row>
    <row r="2128" ht="12.75">
      <c r="X2128" s="388"/>
    </row>
    <row r="2129" ht="12.75">
      <c r="X2129" s="388"/>
    </row>
    <row r="2130" ht="12.75">
      <c r="X2130" s="388"/>
    </row>
    <row r="2131" ht="12.75">
      <c r="X2131" s="388"/>
    </row>
    <row r="2132" ht="12.75">
      <c r="X2132" s="388"/>
    </row>
    <row r="2133" ht="12.75">
      <c r="X2133" s="388"/>
    </row>
    <row r="2134" ht="12.75">
      <c r="X2134" s="388"/>
    </row>
    <row r="2135" ht="12.75">
      <c r="X2135" s="388"/>
    </row>
    <row r="2136" ht="12.75">
      <c r="X2136" s="388"/>
    </row>
    <row r="2137" ht="12.75">
      <c r="X2137" s="388"/>
    </row>
    <row r="2138" ht="12.75">
      <c r="X2138" s="388"/>
    </row>
    <row r="2139" ht="12.75">
      <c r="X2139" s="388"/>
    </row>
    <row r="2140" ht="12.75">
      <c r="X2140" s="388"/>
    </row>
    <row r="2141" ht="12.75">
      <c r="X2141" s="388"/>
    </row>
    <row r="2142" ht="12.75">
      <c r="X2142" s="388"/>
    </row>
    <row r="2143" ht="12.75">
      <c r="X2143" s="388"/>
    </row>
    <row r="2144" ht="12.75">
      <c r="X2144" s="388"/>
    </row>
    <row r="2145" ht="12.75">
      <c r="X2145" s="388"/>
    </row>
    <row r="2146" ht="12.75">
      <c r="X2146" s="388"/>
    </row>
    <row r="2147" ht="12.75">
      <c r="X2147" s="388"/>
    </row>
    <row r="2148" ht="12.75">
      <c r="X2148" s="388"/>
    </row>
    <row r="2149" ht="12.75">
      <c r="X2149" s="388"/>
    </row>
    <row r="2150" ht="12.75">
      <c r="X2150" s="388"/>
    </row>
    <row r="2151" ht="12.75">
      <c r="X2151" s="388"/>
    </row>
    <row r="2152" ht="12.75">
      <c r="X2152" s="388"/>
    </row>
    <row r="2153" ht="12.75">
      <c r="X2153" s="388"/>
    </row>
    <row r="2154" ht="12.75">
      <c r="X2154" s="388"/>
    </row>
    <row r="2155" ht="12.75">
      <c r="X2155" s="388"/>
    </row>
    <row r="2156" ht="12.75">
      <c r="X2156" s="388"/>
    </row>
    <row r="2157" ht="12.75">
      <c r="X2157" s="388"/>
    </row>
    <row r="2158" ht="12.75">
      <c r="X2158" s="388"/>
    </row>
    <row r="2159" ht="12.75">
      <c r="X2159" s="388"/>
    </row>
    <row r="2160" ht="12.75">
      <c r="X2160" s="388"/>
    </row>
    <row r="2161" ht="12.75">
      <c r="X2161" s="388"/>
    </row>
    <row r="2162" ht="12.75">
      <c r="X2162" s="388"/>
    </row>
    <row r="2163" ht="12.75">
      <c r="X2163" s="388"/>
    </row>
    <row r="2164" ht="12.75">
      <c r="X2164" s="388"/>
    </row>
    <row r="2165" ht="12.75">
      <c r="X2165" s="388"/>
    </row>
    <row r="2166" ht="12.75">
      <c r="X2166" s="388"/>
    </row>
    <row r="2167" ht="12.75">
      <c r="X2167" s="388"/>
    </row>
    <row r="2168" ht="12.75">
      <c r="X2168" s="388"/>
    </row>
    <row r="2169" ht="12.75">
      <c r="X2169" s="388"/>
    </row>
    <row r="2170" ht="12.75">
      <c r="X2170" s="388"/>
    </row>
    <row r="2171" ht="12.75">
      <c r="X2171" s="388"/>
    </row>
    <row r="2172" ht="12.75">
      <c r="X2172" s="388"/>
    </row>
    <row r="2173" ht="12.75">
      <c r="X2173" s="388"/>
    </row>
    <row r="2174" ht="12.75">
      <c r="X2174" s="388"/>
    </row>
    <row r="2175" ht="12.75">
      <c r="X2175" s="388"/>
    </row>
    <row r="2176" ht="12.75">
      <c r="X2176" s="388"/>
    </row>
    <row r="2177" ht="12.75">
      <c r="X2177" s="388"/>
    </row>
    <row r="2178" ht="12.75">
      <c r="X2178" s="388"/>
    </row>
    <row r="2179" ht="12.75">
      <c r="X2179" s="388"/>
    </row>
    <row r="2180" ht="12.75">
      <c r="X2180" s="388"/>
    </row>
    <row r="2181" ht="12.75">
      <c r="X2181" s="388"/>
    </row>
    <row r="2182" ht="12.75">
      <c r="X2182" s="388"/>
    </row>
    <row r="2183" ht="12.75">
      <c r="X2183" s="388"/>
    </row>
    <row r="2184" ht="12.75">
      <c r="X2184" s="388"/>
    </row>
    <row r="2185" ht="12.75">
      <c r="X2185" s="388"/>
    </row>
    <row r="2186" ht="12.75">
      <c r="X2186" s="388"/>
    </row>
    <row r="2187" ht="12.75">
      <c r="X2187" s="388"/>
    </row>
    <row r="2188" ht="12.75">
      <c r="X2188" s="388"/>
    </row>
    <row r="2189" ht="12.75">
      <c r="X2189" s="388"/>
    </row>
    <row r="2190" ht="12.75">
      <c r="X2190" s="388"/>
    </row>
    <row r="2191" ht="12.75">
      <c r="X2191" s="388"/>
    </row>
    <row r="2192" ht="12.75">
      <c r="X2192" s="388"/>
    </row>
    <row r="2193" ht="12.75">
      <c r="X2193" s="388"/>
    </row>
    <row r="2194" ht="12.75">
      <c r="X2194" s="388"/>
    </row>
    <row r="2195" ht="12.75">
      <c r="X2195" s="388"/>
    </row>
    <row r="2196" ht="12.75">
      <c r="X2196" s="388"/>
    </row>
    <row r="2197" ht="12.75">
      <c r="X2197" s="388"/>
    </row>
    <row r="2198" ht="12.75">
      <c r="X2198" s="388"/>
    </row>
    <row r="2199" ht="12.75">
      <c r="X2199" s="388"/>
    </row>
    <row r="2200" ht="12.75">
      <c r="X2200" s="388"/>
    </row>
    <row r="2201" ht="12.75">
      <c r="X2201" s="388"/>
    </row>
    <row r="2202" ht="12.75">
      <c r="X2202" s="388"/>
    </row>
    <row r="2203" ht="12.75">
      <c r="X2203" s="388"/>
    </row>
    <row r="2204" ht="12.75">
      <c r="X2204" s="388"/>
    </row>
    <row r="2205" ht="12.75">
      <c r="X2205" s="388"/>
    </row>
    <row r="2206" ht="12.75">
      <c r="X2206" s="388"/>
    </row>
    <row r="2207" ht="12.75">
      <c r="X2207" s="388"/>
    </row>
    <row r="2208" ht="12.75">
      <c r="X2208" s="388"/>
    </row>
    <row r="2209" ht="12.75">
      <c r="X2209" s="388"/>
    </row>
    <row r="2210" ht="12.75">
      <c r="X2210" s="388"/>
    </row>
    <row r="2211" ht="12.75">
      <c r="X2211" s="388"/>
    </row>
    <row r="2212" ht="12.75">
      <c r="X2212" s="388"/>
    </row>
    <row r="2213" ht="12.75">
      <c r="X2213" s="388"/>
    </row>
    <row r="2214" ht="12.75">
      <c r="X2214" s="388"/>
    </row>
    <row r="2215" ht="12.75">
      <c r="X2215" s="388"/>
    </row>
    <row r="2216" ht="12.75">
      <c r="X2216" s="388"/>
    </row>
    <row r="2217" ht="12.75">
      <c r="X2217" s="388"/>
    </row>
    <row r="2218" ht="12.75">
      <c r="X2218" s="388"/>
    </row>
    <row r="2219" ht="12.75">
      <c r="X2219" s="388"/>
    </row>
    <row r="2220" ht="12.75">
      <c r="X2220" s="388"/>
    </row>
    <row r="2221" ht="12.75">
      <c r="X2221" s="388"/>
    </row>
    <row r="2222" ht="12.75">
      <c r="X2222" s="388"/>
    </row>
    <row r="2223" ht="12.75">
      <c r="X2223" s="388"/>
    </row>
    <row r="2224" ht="12.75">
      <c r="X2224" s="388"/>
    </row>
    <row r="2225" ht="12.75">
      <c r="X2225" s="388"/>
    </row>
    <row r="2226" ht="12.75">
      <c r="X2226" s="388"/>
    </row>
    <row r="2227" ht="12.75">
      <c r="X2227" s="388"/>
    </row>
    <row r="2228" ht="12.75">
      <c r="X2228" s="388"/>
    </row>
    <row r="2229" ht="12.75">
      <c r="X2229" s="388"/>
    </row>
    <row r="2230" ht="12.75">
      <c r="X2230" s="388"/>
    </row>
    <row r="2231" ht="12.75">
      <c r="X2231" s="388"/>
    </row>
    <row r="2232" ht="12.75">
      <c r="X2232" s="388"/>
    </row>
    <row r="2233" ht="12.75">
      <c r="X2233" s="388"/>
    </row>
    <row r="2234" ht="12.75">
      <c r="X2234" s="388"/>
    </row>
    <row r="2235" ht="12.75">
      <c r="X2235" s="388"/>
    </row>
    <row r="2236" ht="12.75">
      <c r="X2236" s="388"/>
    </row>
    <row r="2237" ht="12.75">
      <c r="X2237" s="388"/>
    </row>
    <row r="2238" ht="12.75">
      <c r="X2238" s="388"/>
    </row>
    <row r="2239" ht="12.75">
      <c r="X2239" s="388"/>
    </row>
    <row r="2240" ht="12.75">
      <c r="X2240" s="388"/>
    </row>
    <row r="2241" ht="12.75">
      <c r="X2241" s="388"/>
    </row>
    <row r="2242" ht="12.75">
      <c r="X2242" s="388"/>
    </row>
    <row r="2243" ht="12.75">
      <c r="X2243" s="388"/>
    </row>
    <row r="2244" ht="12.75">
      <c r="X2244" s="388"/>
    </row>
    <row r="2245" ht="12.75">
      <c r="X2245" s="388"/>
    </row>
    <row r="2246" ht="12.75">
      <c r="X2246" s="388"/>
    </row>
    <row r="2247" ht="12.75">
      <c r="X2247" s="388"/>
    </row>
    <row r="2248" ht="12.75">
      <c r="X2248" s="388"/>
    </row>
    <row r="2249" ht="12.75">
      <c r="X2249" s="388"/>
    </row>
    <row r="2250" ht="12.75">
      <c r="X2250" s="388"/>
    </row>
    <row r="2251" ht="12.75">
      <c r="X2251" s="388"/>
    </row>
    <row r="2252" ht="12.75">
      <c r="X2252" s="388"/>
    </row>
    <row r="2253" ht="12.75">
      <c r="X2253" s="388"/>
    </row>
    <row r="2254" ht="12.75">
      <c r="X2254" s="388"/>
    </row>
    <row r="2255" ht="12.75">
      <c r="X2255" s="388"/>
    </row>
    <row r="2256" ht="12.75">
      <c r="X2256" s="388"/>
    </row>
    <row r="2257" ht="12.75">
      <c r="X2257" s="388"/>
    </row>
    <row r="2258" ht="12.75">
      <c r="X2258" s="388"/>
    </row>
    <row r="2259" ht="12.75">
      <c r="X2259" s="388"/>
    </row>
    <row r="2260" ht="12.75">
      <c r="X2260" s="388"/>
    </row>
    <row r="2261" ht="12.75">
      <c r="X2261" s="388"/>
    </row>
    <row r="2262" ht="12.75">
      <c r="X2262" s="388"/>
    </row>
    <row r="2263" ht="12.75">
      <c r="X2263" s="388"/>
    </row>
    <row r="2264" ht="12.75">
      <c r="X2264" s="388"/>
    </row>
    <row r="2265" ht="12.75">
      <c r="X2265" s="388"/>
    </row>
    <row r="2266" ht="12.75">
      <c r="X2266" s="388"/>
    </row>
    <row r="2267" ht="12.75">
      <c r="X2267" s="388"/>
    </row>
    <row r="2268" ht="12.75">
      <c r="X2268" s="388"/>
    </row>
    <row r="2269" ht="12.75">
      <c r="X2269" s="388"/>
    </row>
    <row r="2270" ht="12.75">
      <c r="X2270" s="388"/>
    </row>
    <row r="2271" ht="12.75">
      <c r="X2271" s="388"/>
    </row>
    <row r="2272" ht="12.75">
      <c r="X2272" s="388"/>
    </row>
    <row r="2273" ht="12.75">
      <c r="X2273" s="388"/>
    </row>
    <row r="2274" ht="12.75">
      <c r="X2274" s="388"/>
    </row>
    <row r="2275" ht="12.75">
      <c r="X2275" s="388"/>
    </row>
    <row r="2276" ht="12.75">
      <c r="X2276" s="388"/>
    </row>
    <row r="2277" ht="12.75">
      <c r="X2277" s="388"/>
    </row>
    <row r="2278" ht="12.75">
      <c r="X2278" s="388"/>
    </row>
    <row r="2279" ht="12.75">
      <c r="X2279" s="388"/>
    </row>
    <row r="2280" ht="12.75">
      <c r="X2280" s="388"/>
    </row>
    <row r="2281" ht="12.75">
      <c r="X2281" s="388"/>
    </row>
    <row r="2282" ht="12.75">
      <c r="X2282" s="388"/>
    </row>
    <row r="2283" ht="12.75">
      <c r="X2283" s="388"/>
    </row>
    <row r="2284" ht="12.75">
      <c r="X2284" s="388"/>
    </row>
    <row r="2285" ht="12.75">
      <c r="X2285" s="388"/>
    </row>
    <row r="2286" ht="12.75">
      <c r="X2286" s="388"/>
    </row>
    <row r="2287" ht="12.75">
      <c r="X2287" s="388"/>
    </row>
    <row r="2288" ht="12.75">
      <c r="X2288" s="388"/>
    </row>
    <row r="2289" ht="12.75">
      <c r="X2289" s="388"/>
    </row>
    <row r="2290" ht="12.75">
      <c r="X2290" s="388"/>
    </row>
    <row r="2291" ht="12.75">
      <c r="X2291" s="388"/>
    </row>
    <row r="2292" ht="12.75">
      <c r="X2292" s="388"/>
    </row>
    <row r="2293" ht="12.75">
      <c r="X2293" s="388"/>
    </row>
    <row r="2294" ht="12.75">
      <c r="X2294" s="388"/>
    </row>
    <row r="2295" ht="12.75">
      <c r="X2295" s="388"/>
    </row>
    <row r="2296" ht="12.75">
      <c r="X2296" s="388"/>
    </row>
    <row r="2297" ht="12.75">
      <c r="X2297" s="388"/>
    </row>
    <row r="2298" ht="12.75">
      <c r="X2298" s="388"/>
    </row>
    <row r="2299" ht="12.75">
      <c r="X2299" s="388"/>
    </row>
    <row r="2300" ht="12.75">
      <c r="X2300" s="388"/>
    </row>
    <row r="2301" ht="12.75">
      <c r="X2301" s="388"/>
    </row>
    <row r="2302" ht="12.75">
      <c r="X2302" s="388"/>
    </row>
    <row r="2303" ht="12.75">
      <c r="X2303" s="388"/>
    </row>
    <row r="2304" ht="12.75">
      <c r="X2304" s="388"/>
    </row>
    <row r="2305" ht="12.75">
      <c r="X2305" s="388"/>
    </row>
    <row r="2306" ht="12.75">
      <c r="X2306" s="388"/>
    </row>
    <row r="2307" ht="12.75">
      <c r="X2307" s="388"/>
    </row>
    <row r="2308" ht="12.75">
      <c r="X2308" s="388"/>
    </row>
    <row r="2309" ht="12.75">
      <c r="X2309" s="388"/>
    </row>
    <row r="2310" ht="12.75">
      <c r="X2310" s="388"/>
    </row>
    <row r="2311" ht="12.75">
      <c r="X2311" s="388"/>
    </row>
    <row r="2312" ht="12.75">
      <c r="X2312" s="388"/>
    </row>
    <row r="2313" ht="12.75">
      <c r="X2313" s="388"/>
    </row>
    <row r="2314" ht="12.75">
      <c r="X2314" s="388"/>
    </row>
    <row r="2315" ht="12.75">
      <c r="X2315" s="388"/>
    </row>
    <row r="2316" ht="12.75">
      <c r="X2316" s="388"/>
    </row>
    <row r="2317" ht="12.75">
      <c r="X2317" s="388"/>
    </row>
    <row r="2318" ht="12.75">
      <c r="X2318" s="388"/>
    </row>
    <row r="2319" ht="12.75">
      <c r="X2319" s="388"/>
    </row>
    <row r="2320" ht="12.75">
      <c r="X2320" s="388"/>
    </row>
    <row r="2321" ht="12.75">
      <c r="X2321" s="388"/>
    </row>
    <row r="2322" ht="12.75">
      <c r="X2322" s="388"/>
    </row>
    <row r="2323" ht="12.75">
      <c r="X2323" s="388"/>
    </row>
    <row r="2324" ht="12.75">
      <c r="X2324" s="388"/>
    </row>
    <row r="2325" ht="12.75">
      <c r="X2325" s="388"/>
    </row>
    <row r="2326" ht="12.75">
      <c r="X2326" s="388"/>
    </row>
    <row r="2327" ht="12.75">
      <c r="X2327" s="388"/>
    </row>
    <row r="2328" ht="12.75">
      <c r="X2328" s="388"/>
    </row>
    <row r="2329" ht="12.75">
      <c r="X2329" s="388"/>
    </row>
    <row r="2330" ht="12.75">
      <c r="X2330" s="388"/>
    </row>
    <row r="2331" ht="12.75">
      <c r="X2331" s="388"/>
    </row>
    <row r="2332" ht="12.75">
      <c r="X2332" s="388"/>
    </row>
    <row r="2333" ht="12.75">
      <c r="X2333" s="388"/>
    </row>
    <row r="2334" ht="12.75">
      <c r="X2334" s="388"/>
    </row>
    <row r="2335" ht="12.75">
      <c r="X2335" s="388"/>
    </row>
    <row r="2336" ht="12.75">
      <c r="X2336" s="388"/>
    </row>
    <row r="2337" ht="12.75">
      <c r="X2337" s="388"/>
    </row>
    <row r="2338" ht="12.75">
      <c r="X2338" s="388"/>
    </row>
    <row r="2339" ht="12.75">
      <c r="X2339" s="388"/>
    </row>
    <row r="2340" ht="12.75">
      <c r="X2340" s="388"/>
    </row>
    <row r="2341" ht="12.75">
      <c r="X2341" s="388"/>
    </row>
    <row r="2342" ht="12.75">
      <c r="X2342" s="388"/>
    </row>
    <row r="2343" ht="12.75">
      <c r="X2343" s="388"/>
    </row>
    <row r="2344" ht="12.75">
      <c r="X2344" s="388"/>
    </row>
    <row r="2345" ht="12.75">
      <c r="X2345" s="388"/>
    </row>
    <row r="2346" ht="12.75">
      <c r="X2346" s="388"/>
    </row>
    <row r="2347" ht="12.75">
      <c r="X2347" s="388"/>
    </row>
    <row r="2348" ht="12.75">
      <c r="X2348" s="388"/>
    </row>
    <row r="2349" ht="12.75">
      <c r="X2349" s="388"/>
    </row>
    <row r="2350" ht="12.75">
      <c r="X2350" s="388"/>
    </row>
    <row r="2351" ht="12.75">
      <c r="X2351" s="388"/>
    </row>
    <row r="2352" ht="12.75">
      <c r="X2352" s="388"/>
    </row>
    <row r="2353" ht="12.75">
      <c r="X2353" s="388"/>
    </row>
    <row r="2354" ht="12.75">
      <c r="X2354" s="388"/>
    </row>
    <row r="2355" ht="12.75">
      <c r="X2355" s="388"/>
    </row>
    <row r="2356" ht="12.75">
      <c r="X2356" s="388"/>
    </row>
    <row r="2357" ht="12.75">
      <c r="X2357" s="388"/>
    </row>
    <row r="2358" ht="12.75">
      <c r="X2358" s="388"/>
    </row>
    <row r="2359" ht="12.75">
      <c r="X2359" s="388"/>
    </row>
    <row r="2360" ht="12.75">
      <c r="X2360" s="388"/>
    </row>
    <row r="2361" ht="12.75">
      <c r="X2361" s="388"/>
    </row>
    <row r="2362" ht="12.75">
      <c r="X2362" s="388"/>
    </row>
    <row r="2363" ht="12.75">
      <c r="X2363" s="388"/>
    </row>
    <row r="2364" ht="12.75">
      <c r="X2364" s="388"/>
    </row>
    <row r="2365" ht="12.75">
      <c r="X2365" s="388"/>
    </row>
    <row r="2366" ht="12.75">
      <c r="X2366" s="388"/>
    </row>
    <row r="2367" ht="12.75">
      <c r="X2367" s="388"/>
    </row>
    <row r="2368" ht="12.75">
      <c r="X2368" s="388"/>
    </row>
    <row r="2369" ht="12.75">
      <c r="X2369" s="388"/>
    </row>
    <row r="2370" ht="12.75">
      <c r="X2370" s="388"/>
    </row>
    <row r="2371" ht="12.75">
      <c r="X2371" s="388"/>
    </row>
    <row r="2372" ht="12.75">
      <c r="X2372" s="388"/>
    </row>
    <row r="2373" ht="12.75">
      <c r="X2373" s="388"/>
    </row>
    <row r="2374" ht="12.75">
      <c r="X2374" s="388"/>
    </row>
    <row r="2375" ht="12.75">
      <c r="X2375" s="388"/>
    </row>
    <row r="2376" ht="12.75">
      <c r="X2376" s="388"/>
    </row>
    <row r="2377" ht="12.75">
      <c r="X2377" s="388"/>
    </row>
    <row r="2378" ht="12.75">
      <c r="X2378" s="388"/>
    </row>
    <row r="2379" ht="12.75">
      <c r="X2379" s="388"/>
    </row>
    <row r="2380" ht="12.75">
      <c r="X2380" s="388"/>
    </row>
    <row r="2381" ht="12.75">
      <c r="X2381" s="388"/>
    </row>
    <row r="2382" ht="12.75">
      <c r="X2382" s="388"/>
    </row>
    <row r="2383" ht="12.75">
      <c r="X2383" s="388"/>
    </row>
    <row r="2384" ht="12.75">
      <c r="X2384" s="388"/>
    </row>
    <row r="2385" ht="12.75">
      <c r="X2385" s="388"/>
    </row>
    <row r="2386" ht="12.75">
      <c r="X2386" s="388"/>
    </row>
    <row r="2387" ht="12.75">
      <c r="X2387" s="388"/>
    </row>
    <row r="2388" ht="12.75">
      <c r="X2388" s="388"/>
    </row>
    <row r="2389" ht="12.75">
      <c r="X2389" s="388"/>
    </row>
    <row r="2390" ht="12.75">
      <c r="X2390" s="388"/>
    </row>
    <row r="2391" ht="12.75">
      <c r="X2391" s="388"/>
    </row>
    <row r="2392" ht="12.75">
      <c r="X2392" s="388"/>
    </row>
    <row r="2393" ht="12.75">
      <c r="X2393" s="388"/>
    </row>
    <row r="2394" ht="12.75">
      <c r="X2394" s="388"/>
    </row>
    <row r="2395" ht="12.75">
      <c r="X2395" s="388"/>
    </row>
    <row r="2396" ht="12.75">
      <c r="X2396" s="388"/>
    </row>
    <row r="2397" ht="12.75">
      <c r="X2397" s="388"/>
    </row>
    <row r="2398" ht="12.75">
      <c r="X2398" s="388"/>
    </row>
    <row r="2399" ht="12.75">
      <c r="X2399" s="388"/>
    </row>
    <row r="2400" ht="12.75">
      <c r="X2400" s="388"/>
    </row>
    <row r="2401" ht="12.75">
      <c r="X2401" s="388"/>
    </row>
    <row r="2402" ht="12.75">
      <c r="X2402" s="388"/>
    </row>
    <row r="2403" ht="12.75">
      <c r="X2403" s="388"/>
    </row>
    <row r="2404" ht="12.75">
      <c r="X2404" s="388"/>
    </row>
    <row r="2405" ht="12.75">
      <c r="X2405" s="388"/>
    </row>
    <row r="2406" ht="12.75">
      <c r="X2406" s="388"/>
    </row>
    <row r="2407" ht="12.75">
      <c r="X2407" s="388"/>
    </row>
    <row r="2408" ht="12.75">
      <c r="X2408" s="388"/>
    </row>
    <row r="2409" ht="12.75">
      <c r="X2409" s="388"/>
    </row>
    <row r="2410" ht="12.75">
      <c r="X2410" s="388"/>
    </row>
    <row r="2411" ht="12.75">
      <c r="X2411" s="388"/>
    </row>
    <row r="2412" ht="12.75">
      <c r="X2412" s="388"/>
    </row>
    <row r="2413" ht="12.75">
      <c r="X2413" s="388"/>
    </row>
    <row r="2414" ht="12.75">
      <c r="X2414" s="388"/>
    </row>
    <row r="2415" ht="12.75">
      <c r="X2415" s="388"/>
    </row>
    <row r="2416" ht="12.75">
      <c r="X2416" s="388"/>
    </row>
    <row r="2417" ht="12.75">
      <c r="X2417" s="388"/>
    </row>
    <row r="2418" ht="12.75">
      <c r="X2418" s="388"/>
    </row>
    <row r="2419" ht="12.75">
      <c r="X2419" s="388"/>
    </row>
    <row r="2420" ht="12.75">
      <c r="X2420" s="388"/>
    </row>
    <row r="2421" ht="12.75">
      <c r="X2421" s="388"/>
    </row>
    <row r="2422" ht="12.75">
      <c r="X2422" s="388"/>
    </row>
    <row r="2423" ht="12.75">
      <c r="X2423" s="388"/>
    </row>
    <row r="2424" ht="12.75">
      <c r="X2424" s="388"/>
    </row>
    <row r="2425" ht="12.75">
      <c r="X2425" s="388"/>
    </row>
    <row r="2426" ht="12.75">
      <c r="X2426" s="388"/>
    </row>
    <row r="2427" ht="12.75">
      <c r="X2427" s="388"/>
    </row>
    <row r="2428" ht="12.75">
      <c r="X2428" s="388"/>
    </row>
    <row r="2429" ht="12.75">
      <c r="X2429" s="388"/>
    </row>
    <row r="2430" ht="12.75">
      <c r="X2430" s="388"/>
    </row>
    <row r="2431" ht="12.75">
      <c r="X2431" s="388"/>
    </row>
    <row r="2432" ht="12.75">
      <c r="X2432" s="388"/>
    </row>
    <row r="2433" ht="12.75">
      <c r="X2433" s="388"/>
    </row>
    <row r="2434" ht="12.75">
      <c r="X2434" s="388"/>
    </row>
    <row r="2435" ht="12.75">
      <c r="X2435" s="388"/>
    </row>
    <row r="2436" ht="12.75">
      <c r="X2436" s="388"/>
    </row>
    <row r="2437" ht="12.75">
      <c r="X2437" s="388"/>
    </row>
    <row r="2438" ht="12.75">
      <c r="X2438" s="388"/>
    </row>
    <row r="2439" ht="12.75">
      <c r="X2439" s="388"/>
    </row>
    <row r="2440" ht="12.75">
      <c r="X2440" s="388"/>
    </row>
    <row r="2441" ht="12.75">
      <c r="X2441" s="388"/>
    </row>
    <row r="2442" ht="12.75">
      <c r="X2442" s="388"/>
    </row>
    <row r="2443" ht="12.75">
      <c r="X2443" s="388"/>
    </row>
    <row r="2444" ht="12.75">
      <c r="X2444" s="388"/>
    </row>
    <row r="2445" ht="12.75">
      <c r="X2445" s="388"/>
    </row>
    <row r="2446" ht="12.75">
      <c r="X2446" s="388"/>
    </row>
    <row r="2447" ht="12.75">
      <c r="X2447" s="388"/>
    </row>
    <row r="2448" ht="12.75">
      <c r="X2448" s="388"/>
    </row>
    <row r="2449" ht="12.75">
      <c r="X2449" s="388"/>
    </row>
    <row r="2450" ht="12.75">
      <c r="X2450" s="388"/>
    </row>
    <row r="2451" ht="12.75">
      <c r="X2451" s="388"/>
    </row>
    <row r="2452" ht="12.75">
      <c r="X2452" s="388"/>
    </row>
    <row r="2453" ht="12.75">
      <c r="X2453" s="388"/>
    </row>
    <row r="2454" ht="12.75">
      <c r="X2454" s="388"/>
    </row>
    <row r="2455" ht="12.75">
      <c r="X2455" s="388"/>
    </row>
    <row r="2456" ht="12.75">
      <c r="X2456" s="388"/>
    </row>
    <row r="2457" ht="12.75">
      <c r="X2457" s="388"/>
    </row>
    <row r="2458" ht="12.75">
      <c r="X2458" s="388"/>
    </row>
    <row r="2459" ht="12.75">
      <c r="X2459" s="388"/>
    </row>
    <row r="2460" ht="12.75">
      <c r="X2460" s="388"/>
    </row>
    <row r="2461" ht="12.75">
      <c r="X2461" s="388"/>
    </row>
    <row r="2462" ht="12.75">
      <c r="X2462" s="388"/>
    </row>
    <row r="2463" ht="12.75">
      <c r="X2463" s="388"/>
    </row>
    <row r="2464" ht="12.75">
      <c r="X2464" s="388"/>
    </row>
    <row r="2465" ht="12.75">
      <c r="X2465" s="388"/>
    </row>
    <row r="2466" ht="12.75">
      <c r="X2466" s="388"/>
    </row>
    <row r="2467" ht="12.75">
      <c r="X2467" s="388"/>
    </row>
    <row r="2468" ht="12.75">
      <c r="X2468" s="388"/>
    </row>
    <row r="2469" ht="12.75">
      <c r="X2469" s="388"/>
    </row>
    <row r="2470" ht="12.75">
      <c r="X2470" s="388"/>
    </row>
    <row r="2471" ht="12.75">
      <c r="X2471" s="388"/>
    </row>
    <row r="2472" ht="12.75">
      <c r="X2472" s="388"/>
    </row>
    <row r="2473" ht="12.75">
      <c r="X2473" s="388"/>
    </row>
    <row r="2474" ht="12.75">
      <c r="X2474" s="388"/>
    </row>
    <row r="2475" ht="12.75">
      <c r="X2475" s="388"/>
    </row>
    <row r="2476" ht="12.75">
      <c r="X2476" s="388"/>
    </row>
    <row r="2477" ht="12.75">
      <c r="X2477" s="388"/>
    </row>
    <row r="2478" ht="12.75">
      <c r="X2478" s="388"/>
    </row>
    <row r="2479" ht="12.75">
      <c r="X2479" s="388"/>
    </row>
    <row r="2480" ht="12.75">
      <c r="X2480" s="388"/>
    </row>
    <row r="2481" ht="12.75">
      <c r="X2481" s="388"/>
    </row>
    <row r="2482" ht="12.75">
      <c r="X2482" s="388"/>
    </row>
    <row r="2483" ht="12.75">
      <c r="X2483" s="388"/>
    </row>
    <row r="2484" ht="12.75">
      <c r="X2484" s="388"/>
    </row>
    <row r="2485" ht="12.75">
      <c r="X2485" s="388"/>
    </row>
    <row r="2486" ht="12.75">
      <c r="X2486" s="388"/>
    </row>
    <row r="2487" ht="12.75">
      <c r="X2487" s="388"/>
    </row>
    <row r="2488" ht="12.75">
      <c r="X2488" s="388"/>
    </row>
    <row r="2489" ht="12.75">
      <c r="X2489" s="388"/>
    </row>
    <row r="2490" ht="12.75">
      <c r="X2490" s="388"/>
    </row>
    <row r="2491" ht="12.75">
      <c r="X2491" s="388"/>
    </row>
    <row r="2492" ht="12.75">
      <c r="X2492" s="388"/>
    </row>
    <row r="2493" ht="12.75">
      <c r="X2493" s="388"/>
    </row>
    <row r="2494" ht="12.75">
      <c r="X2494" s="388"/>
    </row>
    <row r="2495" ht="12.75">
      <c r="X2495" s="388"/>
    </row>
    <row r="2496" ht="12.75">
      <c r="X2496" s="388"/>
    </row>
    <row r="2497" ht="12.75">
      <c r="X2497" s="388"/>
    </row>
    <row r="2498" ht="12.75">
      <c r="X2498" s="388"/>
    </row>
    <row r="2499" ht="12.75">
      <c r="X2499" s="388"/>
    </row>
    <row r="2500" ht="12.75">
      <c r="X2500" s="388"/>
    </row>
    <row r="2501" ht="12.75">
      <c r="X2501" s="388"/>
    </row>
    <row r="2502" ht="12.75">
      <c r="X2502" s="388"/>
    </row>
    <row r="2503" ht="12.75">
      <c r="X2503" s="388"/>
    </row>
    <row r="2504" ht="12.75">
      <c r="X2504" s="388"/>
    </row>
    <row r="2505" ht="12.75">
      <c r="X2505" s="388"/>
    </row>
    <row r="2506" ht="12.75">
      <c r="X2506" s="388"/>
    </row>
    <row r="2507" ht="12.75">
      <c r="X2507" s="388"/>
    </row>
    <row r="2508" ht="12.75">
      <c r="X2508" s="388"/>
    </row>
    <row r="2509" ht="12.75">
      <c r="X2509" s="388"/>
    </row>
    <row r="2510" ht="12.75">
      <c r="X2510" s="388"/>
    </row>
    <row r="2511" ht="12.75">
      <c r="X2511" s="388"/>
    </row>
    <row r="2512" ht="12.75">
      <c r="X2512" s="388"/>
    </row>
    <row r="2513" ht="12.75">
      <c r="X2513" s="388"/>
    </row>
    <row r="2514" ht="12.75">
      <c r="X2514" s="388"/>
    </row>
    <row r="2515" ht="12.75">
      <c r="X2515" s="388"/>
    </row>
    <row r="2516" ht="12.75">
      <c r="X2516" s="388"/>
    </row>
    <row r="2517" ht="12.75">
      <c r="X2517" s="388"/>
    </row>
    <row r="2518" ht="12.75">
      <c r="X2518" s="388"/>
    </row>
    <row r="2519" ht="12.75">
      <c r="X2519" s="388"/>
    </row>
    <row r="2520" ht="12.75">
      <c r="X2520" s="388"/>
    </row>
    <row r="2521" ht="12.75">
      <c r="X2521" s="388"/>
    </row>
    <row r="2522" ht="12.75">
      <c r="X2522" s="388"/>
    </row>
    <row r="2523" ht="12.75">
      <c r="X2523" s="388"/>
    </row>
    <row r="2524" ht="12.75">
      <c r="X2524" s="388"/>
    </row>
    <row r="2525" ht="12.75">
      <c r="X2525" s="388"/>
    </row>
    <row r="2526" ht="12.75">
      <c r="X2526" s="388"/>
    </row>
    <row r="2527" ht="12.75">
      <c r="X2527" s="388"/>
    </row>
    <row r="2528" ht="12.75">
      <c r="X2528" s="388"/>
    </row>
    <row r="2529" ht="12.75">
      <c r="X2529" s="388"/>
    </row>
    <row r="2530" ht="12.75">
      <c r="X2530" s="388"/>
    </row>
    <row r="2531" ht="12.75">
      <c r="X2531" s="388"/>
    </row>
    <row r="2532" ht="12.75">
      <c r="X2532" s="388"/>
    </row>
    <row r="2533" ht="12.75">
      <c r="X2533" s="388"/>
    </row>
    <row r="2534" ht="12.75">
      <c r="X2534" s="388"/>
    </row>
    <row r="2535" ht="12.75">
      <c r="X2535" s="388"/>
    </row>
    <row r="2536" ht="12.75">
      <c r="X2536" s="388"/>
    </row>
    <row r="2537" ht="12.75">
      <c r="X2537" s="388"/>
    </row>
    <row r="2538" ht="12.75">
      <c r="X2538" s="388"/>
    </row>
    <row r="2539" ht="12.75">
      <c r="X2539" s="388"/>
    </row>
    <row r="2540" ht="12.75">
      <c r="X2540" s="388"/>
    </row>
    <row r="2541" ht="12.75">
      <c r="X2541" s="388"/>
    </row>
    <row r="2542" ht="12.75">
      <c r="X2542" s="388"/>
    </row>
    <row r="2543" ht="12.75">
      <c r="X2543" s="388"/>
    </row>
    <row r="2544" ht="12.75">
      <c r="X2544" s="388"/>
    </row>
    <row r="2545" ht="12.75">
      <c r="X2545" s="388"/>
    </row>
    <row r="2546" ht="12.75">
      <c r="X2546" s="388"/>
    </row>
    <row r="2547" ht="12.75">
      <c r="X2547" s="388"/>
    </row>
    <row r="2548" ht="12.75">
      <c r="X2548" s="388"/>
    </row>
    <row r="2549" ht="12.75">
      <c r="X2549" s="388"/>
    </row>
    <row r="2550" ht="12.75">
      <c r="X2550" s="388"/>
    </row>
    <row r="2551" ht="12.75">
      <c r="X2551" s="388"/>
    </row>
    <row r="2552" ht="12.75">
      <c r="X2552" s="388"/>
    </row>
    <row r="2553" ht="12.75">
      <c r="X2553" s="388"/>
    </row>
    <row r="2554" ht="12.75">
      <c r="X2554" s="388"/>
    </row>
    <row r="2555" ht="12.75">
      <c r="X2555" s="388"/>
    </row>
    <row r="2556" ht="12.75">
      <c r="X2556" s="388"/>
    </row>
    <row r="2557" ht="12.75">
      <c r="X2557" s="388"/>
    </row>
    <row r="2558" ht="12.75">
      <c r="X2558" s="388"/>
    </row>
    <row r="2559" ht="12.75">
      <c r="X2559" s="388"/>
    </row>
    <row r="2560" ht="12.75">
      <c r="X2560" s="388"/>
    </row>
    <row r="2561" ht="12.75">
      <c r="X2561" s="388"/>
    </row>
    <row r="2562" ht="12.75">
      <c r="X2562" s="388"/>
    </row>
    <row r="2563" ht="12.75">
      <c r="X2563" s="388"/>
    </row>
    <row r="2564" ht="12.75">
      <c r="X2564" s="388"/>
    </row>
    <row r="2565" ht="12.75">
      <c r="X2565" s="388"/>
    </row>
    <row r="2566" ht="12.75">
      <c r="X2566" s="388"/>
    </row>
    <row r="2567" ht="12.75">
      <c r="X2567" s="388"/>
    </row>
    <row r="2568" ht="12.75">
      <c r="X2568" s="388"/>
    </row>
    <row r="2569" ht="12.75">
      <c r="X2569" s="388"/>
    </row>
    <row r="2570" ht="12.75">
      <c r="X2570" s="388"/>
    </row>
    <row r="2571" ht="12.75">
      <c r="X2571" s="388"/>
    </row>
    <row r="2572" ht="12.75">
      <c r="X2572" s="388"/>
    </row>
    <row r="2573" ht="12.75">
      <c r="X2573" s="388"/>
    </row>
    <row r="2574" ht="12.75">
      <c r="X2574" s="388"/>
    </row>
    <row r="2575" ht="12.75">
      <c r="X2575" s="388"/>
    </row>
    <row r="2576" ht="12.75">
      <c r="X2576" s="388"/>
    </row>
    <row r="2577" ht="12.75">
      <c r="X2577" s="388"/>
    </row>
    <row r="2578" ht="12.75">
      <c r="X2578" s="388"/>
    </row>
    <row r="2579" ht="12.75">
      <c r="X2579" s="388"/>
    </row>
    <row r="2580" ht="12.75">
      <c r="X2580" s="388"/>
    </row>
    <row r="2581" ht="12.75">
      <c r="X2581" s="388"/>
    </row>
    <row r="2582" ht="12.75">
      <c r="X2582" s="388"/>
    </row>
    <row r="2583" ht="12.75">
      <c r="X2583" s="388"/>
    </row>
    <row r="2584" ht="12.75">
      <c r="X2584" s="388"/>
    </row>
    <row r="2585" ht="12.75">
      <c r="X2585" s="388"/>
    </row>
    <row r="2586" ht="12.75">
      <c r="X2586" s="388"/>
    </row>
    <row r="2587" ht="12.75">
      <c r="X2587" s="388"/>
    </row>
    <row r="2588" ht="12.75">
      <c r="X2588" s="388"/>
    </row>
    <row r="2589" ht="12.75">
      <c r="X2589" s="388"/>
    </row>
    <row r="2590" ht="12.75">
      <c r="X2590" s="388"/>
    </row>
    <row r="2591" ht="12.75">
      <c r="X2591" s="388"/>
    </row>
    <row r="2592" ht="12.75">
      <c r="X2592" s="388"/>
    </row>
    <row r="2593" ht="12.75">
      <c r="X2593" s="388"/>
    </row>
    <row r="2594" ht="12.75">
      <c r="X2594" s="388"/>
    </row>
    <row r="2595" ht="12.75">
      <c r="X2595" s="388"/>
    </row>
    <row r="2596" ht="12.75">
      <c r="X2596" s="388"/>
    </row>
    <row r="2597" ht="12.75">
      <c r="X2597" s="388"/>
    </row>
    <row r="2598" ht="12.75">
      <c r="X2598" s="388"/>
    </row>
    <row r="2599" ht="12.75">
      <c r="X2599" s="388"/>
    </row>
    <row r="2600" ht="12.75">
      <c r="X2600" s="388"/>
    </row>
    <row r="2601" ht="12.75">
      <c r="X2601" s="388"/>
    </row>
    <row r="2602" ht="12.75">
      <c r="X2602" s="388"/>
    </row>
    <row r="2603" ht="12.75">
      <c r="X2603" s="388"/>
    </row>
    <row r="2604" ht="12.75">
      <c r="X2604" s="388"/>
    </row>
    <row r="2605" ht="12.75">
      <c r="X2605" s="388"/>
    </row>
    <row r="2606" ht="12.75">
      <c r="X2606" s="388"/>
    </row>
    <row r="2607" ht="12.75">
      <c r="X2607" s="388"/>
    </row>
    <row r="2608" ht="12.75">
      <c r="X2608" s="388"/>
    </row>
    <row r="2609" ht="12.75">
      <c r="X2609" s="388"/>
    </row>
    <row r="2610" ht="12.75">
      <c r="X2610" s="388"/>
    </row>
    <row r="2611" ht="12.75">
      <c r="X2611" s="388"/>
    </row>
    <row r="2612" ht="12.75">
      <c r="X2612" s="388"/>
    </row>
    <row r="2613" ht="12.75">
      <c r="X2613" s="388"/>
    </row>
    <row r="2614" ht="12.75">
      <c r="X2614" s="388"/>
    </row>
    <row r="2615" ht="12.75">
      <c r="X2615" s="388"/>
    </row>
    <row r="2616" ht="12.75">
      <c r="X2616" s="388"/>
    </row>
    <row r="2617" ht="12.75">
      <c r="X2617" s="388"/>
    </row>
    <row r="2618" ht="12.75">
      <c r="X2618" s="388"/>
    </row>
    <row r="2619" ht="12.75">
      <c r="X2619" s="388"/>
    </row>
    <row r="2620" ht="12.75">
      <c r="X2620" s="388"/>
    </row>
    <row r="2621" ht="12.75">
      <c r="X2621" s="388"/>
    </row>
    <row r="2622" ht="12.75">
      <c r="X2622" s="388"/>
    </row>
    <row r="2623" ht="12.75">
      <c r="X2623" s="388"/>
    </row>
    <row r="2624" ht="12.75">
      <c r="X2624" s="388"/>
    </row>
    <row r="2625" ht="12.75">
      <c r="X2625" s="388"/>
    </row>
    <row r="2626" ht="12.75">
      <c r="X2626" s="388"/>
    </row>
    <row r="2627" ht="12.75">
      <c r="X2627" s="388"/>
    </row>
    <row r="2628" ht="12.75">
      <c r="X2628" s="388"/>
    </row>
    <row r="2629" ht="12.75">
      <c r="X2629" s="388"/>
    </row>
    <row r="2630" ht="12.75">
      <c r="X2630" s="388"/>
    </row>
    <row r="2631" ht="12.75">
      <c r="X2631" s="388"/>
    </row>
    <row r="2632" ht="12.75">
      <c r="X2632" s="388"/>
    </row>
    <row r="2633" ht="12.75">
      <c r="X2633" s="388"/>
    </row>
    <row r="2634" ht="12.75">
      <c r="X2634" s="388"/>
    </row>
    <row r="2635" ht="12.75">
      <c r="X2635" s="388"/>
    </row>
    <row r="2636" ht="12.75">
      <c r="X2636" s="388"/>
    </row>
    <row r="2637" ht="12.75">
      <c r="X2637" s="388"/>
    </row>
    <row r="2638" ht="12.75">
      <c r="X2638" s="388"/>
    </row>
    <row r="2639" ht="12.75">
      <c r="X2639" s="388"/>
    </row>
    <row r="2640" ht="12.75">
      <c r="X2640" s="388"/>
    </row>
    <row r="2641" ht="12.75">
      <c r="X2641" s="388"/>
    </row>
    <row r="2642" ht="12.75">
      <c r="X2642" s="388"/>
    </row>
    <row r="2643" ht="12.75">
      <c r="X2643" s="388"/>
    </row>
    <row r="2644" ht="12.75">
      <c r="X2644" s="388"/>
    </row>
    <row r="2645" ht="12.75">
      <c r="X2645" s="388"/>
    </row>
    <row r="2646" ht="12.75">
      <c r="X2646" s="388"/>
    </row>
    <row r="2647" ht="12.75">
      <c r="X2647" s="388"/>
    </row>
    <row r="2648" ht="12.75">
      <c r="X2648" s="388"/>
    </row>
    <row r="2649" ht="12.75">
      <c r="X2649" s="388"/>
    </row>
    <row r="2650" ht="12.75">
      <c r="X2650" s="388"/>
    </row>
    <row r="2651" ht="12.75">
      <c r="X2651" s="388"/>
    </row>
    <row r="2652" ht="12.75">
      <c r="X2652" s="388"/>
    </row>
    <row r="2653" ht="12.75">
      <c r="X2653" s="388"/>
    </row>
    <row r="2654" ht="12.75">
      <c r="X2654" s="388"/>
    </row>
    <row r="2655" ht="12.75">
      <c r="X2655" s="388"/>
    </row>
    <row r="2656" ht="12.75">
      <c r="X2656" s="388"/>
    </row>
    <row r="2657" ht="12.75">
      <c r="X2657" s="388"/>
    </row>
    <row r="2658" ht="12.75">
      <c r="X2658" s="388"/>
    </row>
    <row r="2659" ht="12.75">
      <c r="X2659" s="388"/>
    </row>
    <row r="2660" ht="12.75">
      <c r="X2660" s="388"/>
    </row>
    <row r="2661" ht="12.75">
      <c r="X2661" s="388"/>
    </row>
    <row r="2662" ht="12.75">
      <c r="X2662" s="388"/>
    </row>
    <row r="2663" ht="12.75">
      <c r="X2663" s="388"/>
    </row>
    <row r="2664" ht="12.75">
      <c r="X2664" s="388"/>
    </row>
    <row r="2665" ht="12.75">
      <c r="X2665" s="388"/>
    </row>
    <row r="2666" ht="12.75">
      <c r="X2666" s="388"/>
    </row>
    <row r="2667" ht="12.75">
      <c r="X2667" s="388"/>
    </row>
    <row r="2668" ht="12.75">
      <c r="X2668" s="388"/>
    </row>
    <row r="2669" ht="12.75">
      <c r="X2669" s="388"/>
    </row>
    <row r="2670" ht="12.75">
      <c r="X2670" s="388"/>
    </row>
    <row r="2671" ht="12.75">
      <c r="X2671" s="388"/>
    </row>
    <row r="2672" ht="12.75">
      <c r="X2672" s="388"/>
    </row>
    <row r="2673" ht="12.75">
      <c r="X2673" s="388"/>
    </row>
    <row r="2674" ht="12.75">
      <c r="X2674" s="388"/>
    </row>
    <row r="2675" ht="12.75">
      <c r="X2675" s="388"/>
    </row>
    <row r="2676" ht="12.75">
      <c r="X2676" s="388"/>
    </row>
    <row r="2677" ht="12.75">
      <c r="X2677" s="388"/>
    </row>
    <row r="2678" ht="12.75">
      <c r="X2678" s="388"/>
    </row>
    <row r="2679" ht="12.75">
      <c r="X2679" s="388"/>
    </row>
    <row r="2680" ht="12.75">
      <c r="X2680" s="388"/>
    </row>
    <row r="2681" ht="12.75">
      <c r="X2681" s="388"/>
    </row>
    <row r="2682" ht="12.75">
      <c r="X2682" s="388"/>
    </row>
    <row r="2683" ht="12.75">
      <c r="X2683" s="388"/>
    </row>
    <row r="2684" ht="12.75">
      <c r="X2684" s="388"/>
    </row>
    <row r="2685" ht="12.75">
      <c r="X2685" s="388"/>
    </row>
    <row r="2686" ht="12.75">
      <c r="X2686" s="388"/>
    </row>
    <row r="2687" ht="12.75">
      <c r="X2687" s="388"/>
    </row>
    <row r="2688" ht="12.75">
      <c r="X2688" s="388"/>
    </row>
    <row r="2689" ht="12.75">
      <c r="X2689" s="388"/>
    </row>
    <row r="2690" ht="12.75">
      <c r="X2690" s="388"/>
    </row>
    <row r="2691" ht="12.75">
      <c r="X2691" s="388"/>
    </row>
    <row r="2692" ht="12.75">
      <c r="X2692" s="388"/>
    </row>
    <row r="2693" ht="12.75">
      <c r="X2693" s="388"/>
    </row>
    <row r="2694" ht="12.75">
      <c r="X2694" s="388"/>
    </row>
    <row r="2695" ht="12.75">
      <c r="X2695" s="388"/>
    </row>
    <row r="2696" ht="12.75">
      <c r="X2696" s="388"/>
    </row>
    <row r="2697" ht="12.75">
      <c r="X2697" s="388"/>
    </row>
    <row r="2698" ht="12.75">
      <c r="X2698" s="388"/>
    </row>
    <row r="2699" ht="12.75">
      <c r="X2699" s="388"/>
    </row>
    <row r="2700" ht="12.75">
      <c r="X2700" s="388"/>
    </row>
    <row r="2701" ht="12.75">
      <c r="X2701" s="388"/>
    </row>
    <row r="2702" ht="12.75">
      <c r="X2702" s="388"/>
    </row>
    <row r="2703" ht="12.75">
      <c r="X2703" s="388"/>
    </row>
    <row r="2704" ht="12.75">
      <c r="X2704" s="388"/>
    </row>
    <row r="2705" ht="12.75">
      <c r="X2705" s="388"/>
    </row>
    <row r="2706" ht="12.75">
      <c r="X2706" s="388"/>
    </row>
    <row r="2707" ht="12.75">
      <c r="X2707" s="388"/>
    </row>
    <row r="2708" ht="12.75">
      <c r="X2708" s="388"/>
    </row>
    <row r="2709" ht="12.75">
      <c r="X2709" s="388"/>
    </row>
    <row r="2710" ht="12.75">
      <c r="X2710" s="388"/>
    </row>
    <row r="2711" ht="12.75">
      <c r="X2711" s="388"/>
    </row>
    <row r="2712" ht="12.75">
      <c r="X2712" s="388"/>
    </row>
    <row r="2713" ht="12.75">
      <c r="X2713" s="388"/>
    </row>
    <row r="2714" ht="12.75">
      <c r="X2714" s="388"/>
    </row>
    <row r="2715" ht="12.75">
      <c r="X2715" s="388"/>
    </row>
    <row r="2716" ht="12.75">
      <c r="X2716" s="388"/>
    </row>
    <row r="2717" ht="12.75">
      <c r="X2717" s="388"/>
    </row>
    <row r="2718" ht="12.75">
      <c r="X2718" s="388"/>
    </row>
    <row r="2719" ht="12.75">
      <c r="X2719" s="388"/>
    </row>
    <row r="2720" ht="12.75">
      <c r="X2720" s="388"/>
    </row>
    <row r="2721" ht="12.75">
      <c r="X2721" s="388"/>
    </row>
    <row r="2722" ht="12.75">
      <c r="X2722" s="388"/>
    </row>
    <row r="2723" ht="12.75">
      <c r="X2723" s="388"/>
    </row>
    <row r="2724" ht="12.75">
      <c r="X2724" s="388"/>
    </row>
    <row r="2725" ht="12.75">
      <c r="X2725" s="388"/>
    </row>
    <row r="2726" ht="12.75">
      <c r="X2726" s="388"/>
    </row>
    <row r="2727" ht="12.75">
      <c r="X2727" s="388"/>
    </row>
    <row r="2728" ht="12.75">
      <c r="X2728" s="388"/>
    </row>
    <row r="2729" ht="12.75">
      <c r="X2729" s="388"/>
    </row>
    <row r="2730" ht="12.75">
      <c r="X2730" s="388"/>
    </row>
    <row r="2731" ht="12.75">
      <c r="X2731" s="388"/>
    </row>
    <row r="2732" ht="12.75">
      <c r="X2732" s="388"/>
    </row>
    <row r="2733" ht="12.75">
      <c r="X2733" s="388"/>
    </row>
    <row r="2734" ht="12.75">
      <c r="X2734" s="388"/>
    </row>
    <row r="2735" ht="12.75">
      <c r="X2735" s="388"/>
    </row>
    <row r="2736" ht="12.75">
      <c r="X2736" s="388"/>
    </row>
    <row r="2737" ht="12.75">
      <c r="X2737" s="388"/>
    </row>
    <row r="2738" ht="12.75">
      <c r="X2738" s="388"/>
    </row>
    <row r="2739" ht="12.75">
      <c r="X2739" s="388"/>
    </row>
    <row r="2740" ht="12.75">
      <c r="X2740" s="388"/>
    </row>
    <row r="2741" ht="12.75">
      <c r="X2741" s="388"/>
    </row>
    <row r="2742" ht="12.75">
      <c r="X2742" s="388"/>
    </row>
    <row r="2743" ht="12.75">
      <c r="X2743" s="388"/>
    </row>
    <row r="2744" ht="12.75">
      <c r="X2744" s="388"/>
    </row>
    <row r="2745" ht="12.75">
      <c r="X2745" s="388"/>
    </row>
    <row r="2746" ht="12.75">
      <c r="X2746" s="388"/>
    </row>
    <row r="2747" ht="12.75">
      <c r="X2747" s="388"/>
    </row>
    <row r="2748" ht="12.75">
      <c r="X2748" s="388"/>
    </row>
    <row r="2749" ht="12.75">
      <c r="X2749" s="388"/>
    </row>
    <row r="2750" ht="12.75">
      <c r="X2750" s="388"/>
    </row>
    <row r="2751" ht="12.75">
      <c r="X2751" s="388"/>
    </row>
    <row r="2752" ht="12.75">
      <c r="X2752" s="388"/>
    </row>
    <row r="2753" ht="12.75">
      <c r="X2753" s="388"/>
    </row>
    <row r="2754" ht="12.75">
      <c r="X2754" s="388"/>
    </row>
    <row r="2755" ht="12.75">
      <c r="X2755" s="388"/>
    </row>
    <row r="2756" ht="12.75">
      <c r="X2756" s="388"/>
    </row>
    <row r="2757" ht="12.75">
      <c r="X2757" s="388"/>
    </row>
    <row r="2758" ht="12.75">
      <c r="X2758" s="388"/>
    </row>
    <row r="2759" ht="12.75">
      <c r="X2759" s="388"/>
    </row>
    <row r="2760" ht="12.75">
      <c r="X2760" s="388"/>
    </row>
    <row r="2761" ht="12.75">
      <c r="X2761" s="388"/>
    </row>
    <row r="2762" ht="12.75">
      <c r="X2762" s="388"/>
    </row>
    <row r="2763" ht="12.75">
      <c r="X2763" s="388"/>
    </row>
    <row r="2764" ht="12.75">
      <c r="X2764" s="388"/>
    </row>
    <row r="2765" ht="12.75">
      <c r="X2765" s="388"/>
    </row>
    <row r="2766" ht="12.75">
      <c r="X2766" s="388"/>
    </row>
    <row r="2767" ht="12.75">
      <c r="X2767" s="388"/>
    </row>
    <row r="2768" ht="12.75">
      <c r="X2768" s="388"/>
    </row>
    <row r="2769" ht="12.75">
      <c r="X2769" s="388"/>
    </row>
    <row r="2770" ht="12.75">
      <c r="X2770" s="388"/>
    </row>
    <row r="2771" ht="12.75">
      <c r="X2771" s="388"/>
    </row>
    <row r="2772" ht="12.75">
      <c r="X2772" s="388"/>
    </row>
    <row r="2773" ht="12.75">
      <c r="X2773" s="388"/>
    </row>
    <row r="2774" ht="12.75">
      <c r="X2774" s="388"/>
    </row>
    <row r="2775" ht="12.75">
      <c r="X2775" s="388"/>
    </row>
    <row r="2776" ht="12.75">
      <c r="X2776" s="388"/>
    </row>
    <row r="2777" ht="12.75">
      <c r="X2777" s="388"/>
    </row>
    <row r="2778" ht="12.75">
      <c r="X2778" s="388"/>
    </row>
    <row r="2779" ht="12.75">
      <c r="X2779" s="388"/>
    </row>
    <row r="2780" ht="12.75">
      <c r="X2780" s="388"/>
    </row>
    <row r="2781" ht="12.75">
      <c r="X2781" s="388"/>
    </row>
    <row r="2782" ht="12.75">
      <c r="X2782" s="388"/>
    </row>
    <row r="2783" ht="12.75">
      <c r="X2783" s="388"/>
    </row>
    <row r="2784" ht="12.75">
      <c r="X2784" s="388"/>
    </row>
    <row r="2785" ht="12.75">
      <c r="X2785" s="388"/>
    </row>
    <row r="2786" ht="12.75">
      <c r="X2786" s="388"/>
    </row>
    <row r="2787" ht="12.75">
      <c r="X2787" s="388"/>
    </row>
    <row r="2788" ht="12.75">
      <c r="X2788" s="388"/>
    </row>
    <row r="2789" ht="12.75">
      <c r="X2789" s="388"/>
    </row>
    <row r="2790" ht="12.75">
      <c r="X2790" s="388"/>
    </row>
    <row r="2791" ht="12.75">
      <c r="X2791" s="388"/>
    </row>
    <row r="2792" ht="12.75">
      <c r="X2792" s="388"/>
    </row>
    <row r="2793" ht="12.75">
      <c r="X2793" s="388"/>
    </row>
    <row r="2794" ht="12.75">
      <c r="X2794" s="388"/>
    </row>
    <row r="2795" ht="12.75">
      <c r="X2795" s="388"/>
    </row>
    <row r="2796" ht="12.75">
      <c r="X2796" s="388"/>
    </row>
    <row r="2797" ht="12.75">
      <c r="X2797" s="388"/>
    </row>
    <row r="2798" ht="12.75">
      <c r="X2798" s="388"/>
    </row>
    <row r="2799" ht="12.75">
      <c r="X2799" s="388"/>
    </row>
    <row r="2800" ht="12.75">
      <c r="X2800" s="388"/>
    </row>
    <row r="2801" ht="12.75">
      <c r="X2801" s="388"/>
    </row>
    <row r="2802" ht="12.75">
      <c r="X2802" s="388"/>
    </row>
    <row r="2803" ht="12.75">
      <c r="X2803" s="388"/>
    </row>
    <row r="2804" ht="12.75">
      <c r="X2804" s="388"/>
    </row>
    <row r="2805" ht="12.75">
      <c r="X2805" s="388"/>
    </row>
    <row r="2806" ht="12.75">
      <c r="X2806" s="388"/>
    </row>
    <row r="2807" ht="12.75">
      <c r="X2807" s="388"/>
    </row>
    <row r="2808" ht="12.75">
      <c r="X2808" s="388"/>
    </row>
    <row r="2809" ht="12.75">
      <c r="X2809" s="388"/>
    </row>
    <row r="2810" ht="12.75">
      <c r="X2810" s="388"/>
    </row>
    <row r="2811" ht="12.75">
      <c r="X2811" s="388"/>
    </row>
    <row r="2812" ht="12.75">
      <c r="X2812" s="388"/>
    </row>
    <row r="2813" ht="12.75">
      <c r="X2813" s="388"/>
    </row>
    <row r="2814" ht="12.75">
      <c r="X2814" s="388"/>
    </row>
    <row r="2815" ht="12.75">
      <c r="X2815" s="388"/>
    </row>
    <row r="2816" ht="12.75">
      <c r="X2816" s="388"/>
    </row>
    <row r="2817" ht="12.75">
      <c r="X2817" s="388"/>
    </row>
    <row r="2818" ht="12.75">
      <c r="X2818" s="388"/>
    </row>
    <row r="2819" ht="12.75">
      <c r="X2819" s="388"/>
    </row>
    <row r="2820" ht="12.75">
      <c r="X2820" s="388"/>
    </row>
    <row r="2821" ht="12.75">
      <c r="X2821" s="388"/>
    </row>
    <row r="2822" ht="12.75">
      <c r="X2822" s="388"/>
    </row>
    <row r="2823" ht="12.75">
      <c r="X2823" s="388"/>
    </row>
    <row r="2824" ht="12.75">
      <c r="X2824" s="388"/>
    </row>
    <row r="2825" ht="12.75">
      <c r="X2825" s="388"/>
    </row>
    <row r="2826" ht="12.75">
      <c r="X2826" s="388"/>
    </row>
    <row r="2827" ht="12.75">
      <c r="X2827" s="388"/>
    </row>
    <row r="2828" ht="12.75">
      <c r="X2828" s="388"/>
    </row>
    <row r="2829" ht="12.75">
      <c r="X2829" s="388"/>
    </row>
    <row r="2830" ht="12.75">
      <c r="X2830" s="388"/>
    </row>
    <row r="2831" ht="12.75">
      <c r="X2831" s="388"/>
    </row>
    <row r="2832" ht="12.75">
      <c r="X2832" s="388"/>
    </row>
    <row r="2833" ht="12.75">
      <c r="X2833" s="388"/>
    </row>
    <row r="2834" ht="12.75">
      <c r="X2834" s="388"/>
    </row>
    <row r="2835" ht="12.75">
      <c r="X2835" s="388"/>
    </row>
    <row r="2836" ht="12.75">
      <c r="X2836" s="388"/>
    </row>
    <row r="2837" ht="12.75">
      <c r="X2837" s="388"/>
    </row>
    <row r="2838" ht="12.75">
      <c r="X2838" s="388"/>
    </row>
    <row r="2839" ht="12.75">
      <c r="X2839" s="388"/>
    </row>
    <row r="2840" ht="12.75">
      <c r="X2840" s="388"/>
    </row>
    <row r="2841" ht="12.75">
      <c r="X2841" s="388"/>
    </row>
    <row r="2842" ht="12.75">
      <c r="X2842" s="388"/>
    </row>
    <row r="2843" ht="12.75">
      <c r="X2843" s="388"/>
    </row>
    <row r="2844" ht="12.75">
      <c r="X2844" s="388"/>
    </row>
    <row r="2845" ht="12.75">
      <c r="X2845" s="388"/>
    </row>
    <row r="2846" ht="12.75">
      <c r="X2846" s="388"/>
    </row>
    <row r="2847" ht="12.75">
      <c r="X2847" s="388"/>
    </row>
    <row r="2848" ht="12.75">
      <c r="X2848" s="388"/>
    </row>
    <row r="2849" ht="12.75">
      <c r="X2849" s="388"/>
    </row>
    <row r="2850" ht="12.75">
      <c r="X2850" s="388"/>
    </row>
    <row r="2851" ht="12.75">
      <c r="X2851" s="388"/>
    </row>
    <row r="2852" ht="12.75">
      <c r="X2852" s="388"/>
    </row>
    <row r="2853" ht="12.75">
      <c r="X2853" s="388"/>
    </row>
    <row r="2854" ht="12.75">
      <c r="X2854" s="388"/>
    </row>
    <row r="2855" ht="12.75">
      <c r="X2855" s="388"/>
    </row>
    <row r="2856" ht="12.75">
      <c r="X2856" s="388"/>
    </row>
    <row r="2857" ht="12.75">
      <c r="X2857" s="388"/>
    </row>
    <row r="2858" ht="12.75">
      <c r="X2858" s="388"/>
    </row>
    <row r="2859" ht="12.75">
      <c r="X2859" s="388"/>
    </row>
    <row r="2860" ht="12.75">
      <c r="X2860" s="388"/>
    </row>
    <row r="2861" ht="12.75">
      <c r="X2861" s="388"/>
    </row>
    <row r="2862" ht="12.75">
      <c r="X2862" s="388"/>
    </row>
    <row r="2863" ht="12.75">
      <c r="X2863" s="388"/>
    </row>
    <row r="2864" ht="12.75">
      <c r="X2864" s="388"/>
    </row>
    <row r="2865" ht="12.75">
      <c r="X2865" s="388"/>
    </row>
    <row r="2866" ht="12.75">
      <c r="X2866" s="388"/>
    </row>
    <row r="2867" ht="12.75">
      <c r="X2867" s="388"/>
    </row>
    <row r="2868" ht="12.75">
      <c r="X2868" s="388"/>
    </row>
    <row r="2869" ht="12.75">
      <c r="X2869" s="388"/>
    </row>
    <row r="2870" ht="12.75">
      <c r="X2870" s="388"/>
    </row>
    <row r="2871" ht="12.75">
      <c r="X2871" s="388"/>
    </row>
    <row r="2872" ht="12.75">
      <c r="X2872" s="388"/>
    </row>
    <row r="2873" ht="12.75">
      <c r="X2873" s="388"/>
    </row>
    <row r="2874" ht="12.75">
      <c r="X2874" s="388"/>
    </row>
    <row r="2875" ht="12.75">
      <c r="X2875" s="388"/>
    </row>
    <row r="2876" ht="12.75">
      <c r="X2876" s="388"/>
    </row>
    <row r="2877" ht="12.75">
      <c r="X2877" s="388"/>
    </row>
    <row r="2878" ht="12.75">
      <c r="X2878" s="388"/>
    </row>
    <row r="2879" ht="12.75">
      <c r="X2879" s="388"/>
    </row>
    <row r="2880" ht="12.75">
      <c r="X2880" s="388"/>
    </row>
    <row r="2881" ht="12.75">
      <c r="X2881" s="388"/>
    </row>
    <row r="2882" ht="12.75">
      <c r="X2882" s="388"/>
    </row>
    <row r="2883" ht="12.75">
      <c r="X2883" s="388"/>
    </row>
    <row r="2884" ht="12.75">
      <c r="X2884" s="388"/>
    </row>
    <row r="2885" ht="12.75">
      <c r="X2885" s="388"/>
    </row>
    <row r="2886" ht="12.75">
      <c r="X2886" s="388"/>
    </row>
    <row r="2887" ht="12.75">
      <c r="X2887" s="388"/>
    </row>
    <row r="2888" ht="12.75">
      <c r="X2888" s="388"/>
    </row>
    <row r="2889" ht="12.75">
      <c r="X2889" s="388"/>
    </row>
    <row r="2890" ht="12.75">
      <c r="X2890" s="388"/>
    </row>
    <row r="2891" ht="12.75">
      <c r="X2891" s="388"/>
    </row>
    <row r="2892" ht="12.75">
      <c r="X2892" s="388"/>
    </row>
    <row r="2893" ht="12.75">
      <c r="X2893" s="388"/>
    </row>
    <row r="2894" ht="12.75">
      <c r="X2894" s="388"/>
    </row>
    <row r="2895" ht="12.75">
      <c r="X2895" s="388"/>
    </row>
    <row r="2896" ht="12.75">
      <c r="X2896" s="388"/>
    </row>
    <row r="2897" ht="12.75">
      <c r="X2897" s="388"/>
    </row>
    <row r="2898" ht="12.75">
      <c r="X2898" s="388"/>
    </row>
    <row r="2899" ht="12.75">
      <c r="X2899" s="388"/>
    </row>
    <row r="2900" ht="12.75">
      <c r="X2900" s="388"/>
    </row>
    <row r="2901" ht="12.75">
      <c r="X2901" s="388"/>
    </row>
    <row r="2902" ht="12.75">
      <c r="X2902" s="388"/>
    </row>
    <row r="2903" ht="12.75">
      <c r="X2903" s="388"/>
    </row>
    <row r="2904" ht="12.75">
      <c r="X2904" s="388"/>
    </row>
    <row r="2905" ht="12.75">
      <c r="X2905" s="388"/>
    </row>
    <row r="2906" ht="12.75">
      <c r="X2906" s="388"/>
    </row>
    <row r="2907" ht="12.75">
      <c r="X2907" s="388"/>
    </row>
    <row r="2908" ht="12.75">
      <c r="X2908" s="388"/>
    </row>
    <row r="2909" ht="12.75">
      <c r="X2909" s="388"/>
    </row>
    <row r="2910" ht="12.75">
      <c r="X2910" s="388"/>
    </row>
    <row r="2911" ht="12.75">
      <c r="X2911" s="388"/>
    </row>
    <row r="2912" ht="12.75">
      <c r="X2912" s="388"/>
    </row>
    <row r="2913" ht="12.75">
      <c r="X2913" s="388"/>
    </row>
    <row r="2914" ht="12.75">
      <c r="X2914" s="388"/>
    </row>
    <row r="2915" ht="12.75">
      <c r="X2915" s="388"/>
    </row>
    <row r="2916" ht="12.75">
      <c r="X2916" s="388"/>
    </row>
    <row r="2917" ht="12.75">
      <c r="X2917" s="388"/>
    </row>
    <row r="2918" ht="12.75">
      <c r="X2918" s="388"/>
    </row>
    <row r="2919" ht="12.75">
      <c r="X2919" s="388"/>
    </row>
    <row r="2920" ht="12.75">
      <c r="X2920" s="388"/>
    </row>
    <row r="2921" ht="12.75">
      <c r="X2921" s="388"/>
    </row>
    <row r="2922" ht="12.75">
      <c r="X2922" s="388"/>
    </row>
    <row r="2923" ht="12.75">
      <c r="X2923" s="388"/>
    </row>
    <row r="2924" ht="12.75">
      <c r="X2924" s="388"/>
    </row>
    <row r="2925" ht="12.75">
      <c r="X2925" s="388"/>
    </row>
    <row r="2926" ht="12.75">
      <c r="X2926" s="388"/>
    </row>
    <row r="2927" ht="12.75">
      <c r="X2927" s="388"/>
    </row>
    <row r="2928" ht="12.75">
      <c r="X2928" s="388"/>
    </row>
    <row r="2929" ht="12.75">
      <c r="X2929" s="388"/>
    </row>
    <row r="2930" ht="12.75">
      <c r="X2930" s="388"/>
    </row>
    <row r="2931" ht="12.75">
      <c r="X2931" s="388"/>
    </row>
    <row r="2932" ht="12.75">
      <c r="X2932" s="388"/>
    </row>
    <row r="2933" ht="12.75">
      <c r="X2933" s="388"/>
    </row>
    <row r="2934" ht="12.75">
      <c r="X2934" s="388"/>
    </row>
    <row r="2935" ht="12.75">
      <c r="X2935" s="388"/>
    </row>
    <row r="2936" ht="12.75">
      <c r="X2936" s="388"/>
    </row>
    <row r="2937" ht="12.75">
      <c r="X2937" s="388"/>
    </row>
    <row r="2938" ht="12.75">
      <c r="X2938" s="388"/>
    </row>
    <row r="2939" ht="12.75">
      <c r="X2939" s="388"/>
    </row>
    <row r="2940" ht="12.75">
      <c r="X2940" s="388"/>
    </row>
    <row r="2941" ht="12.75">
      <c r="X2941" s="388"/>
    </row>
    <row r="2942" ht="12.75">
      <c r="X2942" s="388"/>
    </row>
    <row r="2943" ht="12.75">
      <c r="X2943" s="388"/>
    </row>
    <row r="2944" ht="12.75">
      <c r="X2944" s="388"/>
    </row>
    <row r="2945" ht="12.75">
      <c r="X2945" s="388"/>
    </row>
    <row r="2946" ht="12.75">
      <c r="X2946" s="388"/>
    </row>
    <row r="2947" ht="12.75">
      <c r="X2947" s="388"/>
    </row>
    <row r="2948" ht="12.75">
      <c r="X2948" s="388"/>
    </row>
    <row r="2949" ht="12.75">
      <c r="X2949" s="388"/>
    </row>
    <row r="2950" ht="12.75">
      <c r="X2950" s="388"/>
    </row>
    <row r="2951" ht="12.75">
      <c r="X2951" s="388"/>
    </row>
    <row r="2952" ht="12.75">
      <c r="X2952" s="388"/>
    </row>
    <row r="2953" ht="12.75">
      <c r="X2953" s="388"/>
    </row>
    <row r="2954" ht="12.75">
      <c r="X2954" s="388"/>
    </row>
    <row r="2955" ht="12.75">
      <c r="X2955" s="388"/>
    </row>
    <row r="2956" ht="12.75">
      <c r="X2956" s="388"/>
    </row>
    <row r="2957" ht="12.75">
      <c r="X2957" s="388"/>
    </row>
    <row r="2958" ht="12.75">
      <c r="X2958" s="388"/>
    </row>
    <row r="2959" ht="12.75">
      <c r="X2959" s="388"/>
    </row>
    <row r="2960" ht="12.75">
      <c r="X2960" s="388"/>
    </row>
    <row r="2961" ht="12.75">
      <c r="X2961" s="388"/>
    </row>
    <row r="2962" ht="12.75">
      <c r="X2962" s="388"/>
    </row>
    <row r="2963" ht="12.75">
      <c r="X2963" s="388"/>
    </row>
    <row r="2964" ht="12.75">
      <c r="X2964" s="388"/>
    </row>
    <row r="2965" ht="12.75">
      <c r="X2965" s="388"/>
    </row>
    <row r="2966" ht="12.75">
      <c r="X2966" s="388"/>
    </row>
    <row r="2967" ht="12.75">
      <c r="X2967" s="388"/>
    </row>
    <row r="2968" ht="12.75">
      <c r="X2968" s="388"/>
    </row>
    <row r="2969" ht="12.75">
      <c r="X2969" s="388"/>
    </row>
    <row r="2970" ht="12.75">
      <c r="X2970" s="388"/>
    </row>
    <row r="2971" ht="12.75">
      <c r="X2971" s="388"/>
    </row>
    <row r="2972" ht="12.75">
      <c r="X2972" s="388"/>
    </row>
    <row r="2973" ht="12.75">
      <c r="X2973" s="388"/>
    </row>
    <row r="2974" ht="12.75">
      <c r="X2974" s="388"/>
    </row>
    <row r="2975" ht="12.75">
      <c r="X2975" s="388"/>
    </row>
    <row r="2976" ht="12.75">
      <c r="X2976" s="388"/>
    </row>
    <row r="2977" ht="12.75">
      <c r="X2977" s="388"/>
    </row>
    <row r="2978" ht="12.75">
      <c r="X2978" s="388"/>
    </row>
    <row r="2979" ht="12.75">
      <c r="X2979" s="388"/>
    </row>
    <row r="2980" ht="12.75">
      <c r="X2980" s="388"/>
    </row>
    <row r="2981" ht="12.75">
      <c r="X2981" s="388"/>
    </row>
    <row r="2982" ht="12.75">
      <c r="X2982" s="388"/>
    </row>
    <row r="2983" ht="12.75">
      <c r="X2983" s="388"/>
    </row>
    <row r="2984" ht="12.75">
      <c r="X2984" s="388"/>
    </row>
    <row r="2985" ht="12.75">
      <c r="X2985" s="388"/>
    </row>
    <row r="2986" ht="12.75">
      <c r="X2986" s="388"/>
    </row>
    <row r="2987" ht="12.75">
      <c r="X2987" s="388"/>
    </row>
    <row r="2988" ht="12.75">
      <c r="X2988" s="388"/>
    </row>
    <row r="2989" ht="12.75">
      <c r="X2989" s="388"/>
    </row>
    <row r="2990" ht="12.75">
      <c r="X2990" s="388"/>
    </row>
    <row r="2991" ht="12.75">
      <c r="X2991" s="388"/>
    </row>
    <row r="2992" ht="12.75">
      <c r="X2992" s="388"/>
    </row>
    <row r="2993" ht="12.75">
      <c r="X2993" s="388"/>
    </row>
    <row r="2994" ht="12.75">
      <c r="X2994" s="388"/>
    </row>
    <row r="2995" ht="12.75">
      <c r="X2995" s="388"/>
    </row>
    <row r="2996" ht="12.75">
      <c r="X2996" s="388"/>
    </row>
    <row r="2997" ht="12.75">
      <c r="X2997" s="388"/>
    </row>
    <row r="2998" ht="12.75">
      <c r="X2998" s="388"/>
    </row>
    <row r="2999" ht="12.75">
      <c r="X2999" s="388"/>
    </row>
    <row r="3000" ht="12.75">
      <c r="X3000" s="388"/>
    </row>
    <row r="3001" ht="12.75">
      <c r="X3001" s="388"/>
    </row>
    <row r="3002" ht="12.75">
      <c r="X3002" s="388"/>
    </row>
    <row r="3003" ht="12.75">
      <c r="X3003" s="388"/>
    </row>
    <row r="3004" ht="12.75">
      <c r="X3004" s="388"/>
    </row>
    <row r="3005" ht="12.75">
      <c r="X3005" s="388"/>
    </row>
    <row r="3006" ht="12.75">
      <c r="X3006" s="388"/>
    </row>
    <row r="3007" ht="12.75">
      <c r="X3007" s="388"/>
    </row>
    <row r="3008" ht="12.75">
      <c r="X3008" s="388"/>
    </row>
    <row r="3009" ht="12.75">
      <c r="X3009" s="388"/>
    </row>
    <row r="3010" ht="12.75">
      <c r="X3010" s="388"/>
    </row>
    <row r="3011" ht="12.75">
      <c r="X3011" s="388"/>
    </row>
    <row r="3012" ht="12.75">
      <c r="X3012" s="388"/>
    </row>
    <row r="3013" ht="12.75">
      <c r="X3013" s="388"/>
    </row>
    <row r="3014" ht="12.75">
      <c r="X3014" s="388"/>
    </row>
    <row r="3015" ht="12.75">
      <c r="X3015" s="388"/>
    </row>
    <row r="3016" ht="12.75">
      <c r="X3016" s="388"/>
    </row>
    <row r="3017" ht="12.75">
      <c r="X3017" s="388"/>
    </row>
    <row r="3018" ht="12.75">
      <c r="X3018" s="388"/>
    </row>
    <row r="3019" ht="12.75">
      <c r="X3019" s="388"/>
    </row>
    <row r="3020" ht="12.75">
      <c r="X3020" s="388"/>
    </row>
    <row r="3021" ht="12.75">
      <c r="X3021" s="388"/>
    </row>
    <row r="3022" ht="12.75">
      <c r="X3022" s="388"/>
    </row>
    <row r="3023" ht="12.75">
      <c r="X3023" s="388"/>
    </row>
    <row r="3024" ht="12.75">
      <c r="X3024" s="388"/>
    </row>
    <row r="3025" ht="12.75">
      <c r="X3025" s="388"/>
    </row>
    <row r="3026" ht="12.75">
      <c r="X3026" s="388"/>
    </row>
    <row r="3027" ht="12.75">
      <c r="X3027" s="388"/>
    </row>
    <row r="3028" ht="12.75">
      <c r="X3028" s="388"/>
    </row>
    <row r="3029" ht="12.75">
      <c r="X3029" s="388"/>
    </row>
    <row r="3030" ht="12.75">
      <c r="X3030" s="388"/>
    </row>
    <row r="3031" ht="12.75">
      <c r="X3031" s="388"/>
    </row>
    <row r="3032" ht="12.75">
      <c r="X3032" s="388"/>
    </row>
    <row r="3033" ht="12.75">
      <c r="X3033" s="388"/>
    </row>
    <row r="3034" ht="12.75">
      <c r="X3034" s="388"/>
    </row>
    <row r="3035" ht="12.75">
      <c r="X3035" s="388"/>
    </row>
    <row r="3036" ht="12.75">
      <c r="X3036" s="388"/>
    </row>
    <row r="3037" ht="12.75">
      <c r="X3037" s="388"/>
    </row>
    <row r="3038" ht="12.75">
      <c r="X3038" s="388"/>
    </row>
    <row r="3039" ht="12.75">
      <c r="X3039" s="388"/>
    </row>
    <row r="3040" ht="12.75">
      <c r="X3040" s="388"/>
    </row>
    <row r="3041" ht="12.75">
      <c r="X3041" s="388"/>
    </row>
    <row r="3042" ht="12.75">
      <c r="X3042" s="388"/>
    </row>
    <row r="3043" ht="12.75">
      <c r="X3043" s="388"/>
    </row>
    <row r="3044" ht="12.75">
      <c r="X3044" s="388"/>
    </row>
    <row r="3045" ht="12.75">
      <c r="X3045" s="388"/>
    </row>
    <row r="3046" ht="12.75">
      <c r="X3046" s="388"/>
    </row>
    <row r="3047" ht="12.75">
      <c r="X3047" s="388"/>
    </row>
    <row r="3048" ht="12.75">
      <c r="X3048" s="388"/>
    </row>
    <row r="3049" ht="12.75">
      <c r="X3049" s="388"/>
    </row>
    <row r="3050" ht="12.75">
      <c r="X3050" s="388"/>
    </row>
    <row r="3051" ht="12.75">
      <c r="X3051" s="388"/>
    </row>
    <row r="3052" ht="12.75">
      <c r="X3052" s="388"/>
    </row>
    <row r="3053" ht="12.75">
      <c r="X3053" s="388"/>
    </row>
    <row r="3054" ht="12.75">
      <c r="X3054" s="388"/>
    </row>
    <row r="3055" ht="12.75">
      <c r="X3055" s="388"/>
    </row>
    <row r="3056" ht="12.75">
      <c r="X3056" s="388"/>
    </row>
    <row r="3057" ht="12.75">
      <c r="X3057" s="388"/>
    </row>
    <row r="3058" ht="12.75">
      <c r="X3058" s="388"/>
    </row>
    <row r="3059" ht="12.75">
      <c r="X3059" s="388"/>
    </row>
    <row r="3060" ht="12.75">
      <c r="X3060" s="388"/>
    </row>
    <row r="3061" ht="12.75">
      <c r="X3061" s="388"/>
    </row>
    <row r="3062" ht="12.75">
      <c r="X3062" s="388"/>
    </row>
    <row r="3063" ht="12.75">
      <c r="X3063" s="388"/>
    </row>
    <row r="3064" ht="12.75">
      <c r="X3064" s="388"/>
    </row>
    <row r="3065" ht="12.75">
      <c r="X3065" s="388"/>
    </row>
    <row r="3066" ht="12.75">
      <c r="X3066" s="388"/>
    </row>
    <row r="3067" ht="12.75">
      <c r="X3067" s="388"/>
    </row>
    <row r="3068" ht="12.75">
      <c r="X3068" s="388"/>
    </row>
    <row r="3069" ht="12.75">
      <c r="X3069" s="388"/>
    </row>
    <row r="3070" ht="12.75">
      <c r="X3070" s="388"/>
    </row>
    <row r="3071" ht="12.75">
      <c r="X3071" s="388"/>
    </row>
    <row r="3072" ht="12.75">
      <c r="X3072" s="388"/>
    </row>
    <row r="3073" ht="12.75">
      <c r="X3073" s="388"/>
    </row>
    <row r="3074" ht="12.75">
      <c r="X3074" s="388"/>
    </row>
    <row r="3075" ht="12.75">
      <c r="X3075" s="388"/>
    </row>
    <row r="3076" ht="12.75">
      <c r="X3076" s="388"/>
    </row>
    <row r="3077" ht="12.75">
      <c r="X3077" s="388"/>
    </row>
    <row r="3078" ht="12.75">
      <c r="X3078" s="388"/>
    </row>
    <row r="3079" ht="12.75">
      <c r="X3079" s="388"/>
    </row>
    <row r="3080" ht="12.75">
      <c r="X3080" s="388"/>
    </row>
    <row r="3081" ht="12.75">
      <c r="X3081" s="388"/>
    </row>
    <row r="3082" ht="12.75">
      <c r="X3082" s="388"/>
    </row>
    <row r="3083" ht="12.75">
      <c r="X3083" s="388"/>
    </row>
    <row r="3084" ht="12.75">
      <c r="X3084" s="388"/>
    </row>
    <row r="3085" ht="12.75">
      <c r="X3085" s="388"/>
    </row>
    <row r="3086" ht="12.75">
      <c r="X3086" s="388"/>
    </row>
    <row r="3087" ht="12.75">
      <c r="X3087" s="388"/>
    </row>
    <row r="3088" ht="12.75">
      <c r="X3088" s="388"/>
    </row>
    <row r="3089" ht="12.75">
      <c r="X3089" s="388"/>
    </row>
    <row r="3090" ht="12.75">
      <c r="X3090" s="388"/>
    </row>
    <row r="3091" ht="12.75">
      <c r="X3091" s="388"/>
    </row>
    <row r="3092" ht="12.75">
      <c r="X3092" s="388"/>
    </row>
    <row r="3093" ht="12.75">
      <c r="X3093" s="388"/>
    </row>
    <row r="3094" ht="12.75">
      <c r="X3094" s="388"/>
    </row>
    <row r="3095" ht="12.75">
      <c r="X3095" s="388"/>
    </row>
    <row r="3096" ht="12.75">
      <c r="X3096" s="388"/>
    </row>
    <row r="3097" ht="12.75">
      <c r="X3097" s="388"/>
    </row>
    <row r="3098" ht="12.75">
      <c r="X3098" s="388"/>
    </row>
    <row r="3099" ht="12.75">
      <c r="X3099" s="388"/>
    </row>
    <row r="3100" ht="12.75">
      <c r="X3100" s="388"/>
    </row>
    <row r="3101" ht="12.75">
      <c r="X3101" s="388"/>
    </row>
    <row r="3102" ht="12.75">
      <c r="X3102" s="388"/>
    </row>
    <row r="3103" ht="12.75">
      <c r="X3103" s="388"/>
    </row>
    <row r="3104" ht="12.75">
      <c r="X3104" s="388"/>
    </row>
    <row r="3105" ht="12.75">
      <c r="X3105" s="388"/>
    </row>
    <row r="3106" ht="12.75">
      <c r="X3106" s="388"/>
    </row>
    <row r="3107" ht="12.75">
      <c r="X3107" s="388"/>
    </row>
    <row r="3108" ht="12.75">
      <c r="X3108" s="388"/>
    </row>
    <row r="3109" ht="12.75">
      <c r="X3109" s="388"/>
    </row>
    <row r="3110" ht="12.75">
      <c r="X3110" s="388"/>
    </row>
    <row r="3111" ht="12.75">
      <c r="X3111" s="388"/>
    </row>
    <row r="3112" ht="12.75">
      <c r="X3112" s="388"/>
    </row>
    <row r="3113" ht="12.75">
      <c r="X3113" s="388"/>
    </row>
    <row r="3114" ht="12.75">
      <c r="X3114" s="388"/>
    </row>
    <row r="3115" ht="12.75">
      <c r="X3115" s="388"/>
    </row>
    <row r="3116" ht="12.75">
      <c r="X3116" s="388"/>
    </row>
    <row r="3117" ht="12.75">
      <c r="X3117" s="388"/>
    </row>
    <row r="3118" ht="12.75">
      <c r="X3118" s="388"/>
    </row>
    <row r="3119" ht="12.75">
      <c r="X3119" s="388"/>
    </row>
    <row r="3120" ht="12.75">
      <c r="X3120" s="388"/>
    </row>
    <row r="3121" ht="12.75">
      <c r="X3121" s="388"/>
    </row>
    <row r="3122" ht="12.75">
      <c r="X3122" s="388"/>
    </row>
    <row r="3123" ht="12.75">
      <c r="X3123" s="388"/>
    </row>
    <row r="3124" ht="12.75">
      <c r="X3124" s="388"/>
    </row>
    <row r="3125" ht="12.75">
      <c r="X3125" s="388"/>
    </row>
    <row r="3126" ht="12.75">
      <c r="X3126" s="388"/>
    </row>
    <row r="3127" ht="12.75">
      <c r="X3127" s="388"/>
    </row>
    <row r="3128" ht="12.75">
      <c r="X3128" s="388"/>
    </row>
    <row r="3129" ht="12.75">
      <c r="X3129" s="388"/>
    </row>
    <row r="3130" ht="12.75">
      <c r="X3130" s="388"/>
    </row>
    <row r="3131" ht="12.75">
      <c r="X3131" s="388"/>
    </row>
    <row r="3132" ht="12.75">
      <c r="X3132" s="388"/>
    </row>
    <row r="3133" ht="12.75">
      <c r="X3133" s="388"/>
    </row>
    <row r="3134" ht="12.75">
      <c r="X3134" s="388"/>
    </row>
    <row r="3135" ht="12.75">
      <c r="X3135" s="388"/>
    </row>
    <row r="3136" ht="12.75">
      <c r="X3136" s="388"/>
    </row>
    <row r="3137" ht="12.75">
      <c r="X3137" s="388"/>
    </row>
    <row r="3138" ht="12.75">
      <c r="X3138" s="388"/>
    </row>
    <row r="3139" ht="12.75">
      <c r="X3139" s="388"/>
    </row>
    <row r="3140" ht="12.75">
      <c r="X3140" s="388"/>
    </row>
    <row r="3141" ht="12.75">
      <c r="X3141" s="388"/>
    </row>
    <row r="3142" ht="12.75">
      <c r="X3142" s="388"/>
    </row>
    <row r="3143" ht="12.75">
      <c r="X3143" s="388"/>
    </row>
    <row r="3144" ht="12.75">
      <c r="X3144" s="388"/>
    </row>
    <row r="3145" ht="12.75">
      <c r="X3145" s="388"/>
    </row>
    <row r="3146" ht="12.75">
      <c r="X3146" s="388"/>
    </row>
    <row r="3147" ht="12.75">
      <c r="X3147" s="388"/>
    </row>
    <row r="3148" ht="12.75">
      <c r="X3148" s="388"/>
    </row>
    <row r="3149" ht="12.75">
      <c r="X3149" s="388"/>
    </row>
    <row r="3150" ht="12.75">
      <c r="X3150" s="388"/>
    </row>
    <row r="3151" ht="12.75">
      <c r="X3151" s="388"/>
    </row>
    <row r="3152" ht="12.75">
      <c r="X3152" s="388"/>
    </row>
    <row r="3153" ht="12.75">
      <c r="X3153" s="388"/>
    </row>
    <row r="3154" ht="12.75">
      <c r="X3154" s="388"/>
    </row>
    <row r="3155" ht="12.75">
      <c r="X3155" s="388"/>
    </row>
    <row r="3156" ht="12.75">
      <c r="X3156" s="388"/>
    </row>
    <row r="3157" ht="12.75">
      <c r="X3157" s="388"/>
    </row>
    <row r="3158" ht="12.75">
      <c r="X3158" s="388"/>
    </row>
    <row r="3159" ht="12.75">
      <c r="X3159" s="388"/>
    </row>
    <row r="3160" ht="12.75">
      <c r="X3160" s="388"/>
    </row>
    <row r="3161" ht="12.75">
      <c r="X3161" s="388"/>
    </row>
    <row r="3162" ht="12.75">
      <c r="X3162" s="388"/>
    </row>
    <row r="3163" ht="12.75">
      <c r="X3163" s="388"/>
    </row>
    <row r="3164" ht="12.75">
      <c r="X3164" s="388"/>
    </row>
    <row r="3165" ht="12.75">
      <c r="X3165" s="388"/>
    </row>
    <row r="3166" ht="12.75">
      <c r="X3166" s="388"/>
    </row>
    <row r="3167" ht="12.75">
      <c r="X3167" s="388"/>
    </row>
    <row r="3168" ht="12.75">
      <c r="X3168" s="388"/>
    </row>
    <row r="3169" ht="12.75">
      <c r="X3169" s="388"/>
    </row>
    <row r="3170" ht="12.75">
      <c r="X3170" s="388"/>
    </row>
    <row r="3171" ht="12.75">
      <c r="X3171" s="388"/>
    </row>
    <row r="3172" ht="12.75">
      <c r="X3172" s="388"/>
    </row>
    <row r="3173" ht="12.75">
      <c r="X3173" s="388"/>
    </row>
    <row r="3174" ht="12.75">
      <c r="X3174" s="388"/>
    </row>
    <row r="3175" ht="12.75">
      <c r="X3175" s="388"/>
    </row>
    <row r="3176" ht="12.75">
      <c r="X3176" s="388"/>
    </row>
    <row r="3177" ht="12.75">
      <c r="X3177" s="388"/>
    </row>
    <row r="3178" ht="12.75">
      <c r="X3178" s="388"/>
    </row>
    <row r="3179" ht="12.75">
      <c r="X3179" s="388"/>
    </row>
    <row r="3180" ht="12.75">
      <c r="X3180" s="388"/>
    </row>
    <row r="3181" ht="12.75">
      <c r="X3181" s="388"/>
    </row>
    <row r="3182" ht="12.75">
      <c r="X3182" s="388"/>
    </row>
    <row r="3183" ht="12.75">
      <c r="X3183" s="388"/>
    </row>
    <row r="3184" ht="12.75">
      <c r="X3184" s="388"/>
    </row>
    <row r="3185" ht="12.75">
      <c r="X3185" s="388"/>
    </row>
    <row r="3186" ht="12.75">
      <c r="X3186" s="388"/>
    </row>
    <row r="3187" ht="12.75">
      <c r="X3187" s="388"/>
    </row>
    <row r="3188" ht="12.75">
      <c r="X3188" s="388"/>
    </row>
    <row r="3189" ht="12.75">
      <c r="X3189" s="388"/>
    </row>
    <row r="3190" ht="12.75">
      <c r="X3190" s="388"/>
    </row>
    <row r="3191" ht="12.75">
      <c r="X3191" s="388"/>
    </row>
    <row r="3192" ht="12.75">
      <c r="X3192" s="388"/>
    </row>
    <row r="3193" ht="12.75">
      <c r="X3193" s="388"/>
    </row>
    <row r="3194" ht="12.75">
      <c r="X3194" s="388"/>
    </row>
    <row r="3195" ht="12.75">
      <c r="X3195" s="388"/>
    </row>
    <row r="3196" ht="12.75">
      <c r="X3196" s="388"/>
    </row>
    <row r="3197" ht="12.75">
      <c r="X3197" s="388"/>
    </row>
    <row r="3198" ht="12.75">
      <c r="X3198" s="388"/>
    </row>
    <row r="3199" ht="12.75">
      <c r="X3199" s="388"/>
    </row>
    <row r="3200" ht="12.75">
      <c r="X3200" s="388"/>
    </row>
    <row r="3201" ht="12.75">
      <c r="X3201" s="388"/>
    </row>
    <row r="3202" ht="12.75">
      <c r="X3202" s="388"/>
    </row>
    <row r="3203" ht="12.75">
      <c r="X3203" s="388"/>
    </row>
    <row r="3204" ht="12.75">
      <c r="X3204" s="388"/>
    </row>
    <row r="3205" ht="12.75">
      <c r="X3205" s="388"/>
    </row>
    <row r="3206" ht="12.75">
      <c r="X3206" s="388"/>
    </row>
    <row r="3207" ht="12.75">
      <c r="X3207" s="388"/>
    </row>
    <row r="3208" ht="12.75">
      <c r="X3208" s="388"/>
    </row>
    <row r="3209" ht="12.75">
      <c r="X3209" s="388"/>
    </row>
    <row r="3210" ht="12.75">
      <c r="X3210" s="388"/>
    </row>
    <row r="3211" ht="12.75">
      <c r="X3211" s="388"/>
    </row>
    <row r="3212" ht="12.75">
      <c r="X3212" s="388"/>
    </row>
    <row r="3213" ht="12.75">
      <c r="X3213" s="388"/>
    </row>
    <row r="3214" ht="12.75">
      <c r="X3214" s="388"/>
    </row>
    <row r="3215" ht="12.75">
      <c r="X3215" s="388"/>
    </row>
    <row r="3216" ht="12.75">
      <c r="X3216" s="388"/>
    </row>
    <row r="3217" ht="12.75">
      <c r="X3217" s="388"/>
    </row>
    <row r="3218" ht="12.75">
      <c r="X3218" s="388"/>
    </row>
    <row r="3219" ht="12.75">
      <c r="X3219" s="388"/>
    </row>
    <row r="3220" ht="12.75">
      <c r="X3220" s="388"/>
    </row>
    <row r="3221" ht="12.75">
      <c r="X3221" s="388"/>
    </row>
    <row r="3222" ht="12.75">
      <c r="X3222" s="388"/>
    </row>
    <row r="3223" ht="12.75">
      <c r="X3223" s="388"/>
    </row>
    <row r="3224" ht="12.75">
      <c r="X3224" s="388"/>
    </row>
    <row r="3225" ht="12.75">
      <c r="X3225" s="388"/>
    </row>
    <row r="3226" ht="12.75">
      <c r="X3226" s="388"/>
    </row>
    <row r="3227" ht="12.75">
      <c r="X3227" s="388"/>
    </row>
    <row r="3228" ht="12.75">
      <c r="X3228" s="388"/>
    </row>
    <row r="3229" ht="12.75">
      <c r="X3229" s="388"/>
    </row>
    <row r="3230" ht="12.75">
      <c r="X3230" s="388"/>
    </row>
    <row r="3231" ht="12.75">
      <c r="X3231" s="388"/>
    </row>
    <row r="3232" ht="12.75">
      <c r="X3232" s="388"/>
    </row>
    <row r="3233" ht="12.75">
      <c r="X3233" s="388"/>
    </row>
    <row r="3234" ht="12.75">
      <c r="X3234" s="388"/>
    </row>
    <row r="3235" ht="12.75">
      <c r="X3235" s="388"/>
    </row>
    <row r="3236" ht="12.75">
      <c r="X3236" s="388"/>
    </row>
    <row r="3237" ht="12.75">
      <c r="X3237" s="388"/>
    </row>
    <row r="3238" ht="12.75">
      <c r="X3238" s="388"/>
    </row>
    <row r="3239" ht="12.75">
      <c r="X3239" s="388"/>
    </row>
    <row r="3240" ht="12.75">
      <c r="X3240" s="388"/>
    </row>
    <row r="3241" ht="12.75">
      <c r="X3241" s="388"/>
    </row>
    <row r="3242" ht="12.75">
      <c r="X3242" s="388"/>
    </row>
    <row r="3243" ht="12.75">
      <c r="X3243" s="388"/>
    </row>
    <row r="3244" ht="12.75">
      <c r="X3244" s="388"/>
    </row>
    <row r="3245" ht="12.75">
      <c r="X3245" s="388"/>
    </row>
    <row r="3246" ht="12.75">
      <c r="X3246" s="388"/>
    </row>
    <row r="3247" ht="12.75">
      <c r="X3247" s="388"/>
    </row>
    <row r="3248" ht="12.75">
      <c r="X3248" s="388"/>
    </row>
    <row r="3249" ht="12.75">
      <c r="X3249" s="388"/>
    </row>
    <row r="3250" ht="12.75">
      <c r="X3250" s="388"/>
    </row>
    <row r="3251" ht="12.75">
      <c r="X3251" s="388"/>
    </row>
    <row r="3252" ht="12.75">
      <c r="X3252" s="388"/>
    </row>
    <row r="3253" ht="12.75">
      <c r="X3253" s="388"/>
    </row>
    <row r="3254" ht="12.75">
      <c r="X3254" s="388"/>
    </row>
    <row r="3255" ht="12.75">
      <c r="X3255" s="388"/>
    </row>
    <row r="3256" ht="12.75">
      <c r="X3256" s="388"/>
    </row>
    <row r="3257" ht="12.75">
      <c r="X3257" s="388"/>
    </row>
    <row r="3258" ht="12.75">
      <c r="X3258" s="388"/>
    </row>
    <row r="3259" ht="12.75">
      <c r="X3259" s="388"/>
    </row>
    <row r="3260" ht="12.75">
      <c r="X3260" s="388"/>
    </row>
    <row r="3261" ht="12.75">
      <c r="X3261" s="388"/>
    </row>
    <row r="3262" ht="12.75">
      <c r="X3262" s="388"/>
    </row>
    <row r="3263" ht="12.75">
      <c r="X3263" s="388"/>
    </row>
    <row r="3264" ht="12.75">
      <c r="X3264" s="388"/>
    </row>
    <row r="3265" ht="12.75">
      <c r="X3265" s="388"/>
    </row>
    <row r="3266" ht="12.75">
      <c r="X3266" s="388"/>
    </row>
    <row r="3267" ht="12.75">
      <c r="X3267" s="388"/>
    </row>
    <row r="3268" ht="12.75">
      <c r="X3268" s="388"/>
    </row>
    <row r="3269" ht="12.75">
      <c r="X3269" s="388"/>
    </row>
    <row r="3270" ht="12.75">
      <c r="X3270" s="388"/>
    </row>
    <row r="3271" ht="12.75">
      <c r="X3271" s="388"/>
    </row>
    <row r="3272" ht="12.75">
      <c r="X3272" s="388"/>
    </row>
    <row r="3273" ht="12.75">
      <c r="X3273" s="388"/>
    </row>
    <row r="3274" ht="12.75">
      <c r="X3274" s="388"/>
    </row>
    <row r="3275" ht="12.75">
      <c r="X3275" s="388"/>
    </row>
    <row r="3276" ht="12.75">
      <c r="X3276" s="388"/>
    </row>
    <row r="3277" ht="12.75">
      <c r="X3277" s="388"/>
    </row>
    <row r="3278" ht="12.75">
      <c r="X3278" s="388"/>
    </row>
    <row r="3279" ht="12.75">
      <c r="X3279" s="388"/>
    </row>
    <row r="3280" ht="12.75">
      <c r="X3280" s="388"/>
    </row>
    <row r="3281" ht="12.75">
      <c r="X3281" s="388"/>
    </row>
    <row r="3282" ht="12.75">
      <c r="X3282" s="388"/>
    </row>
    <row r="3283" ht="12.75">
      <c r="X3283" s="388"/>
    </row>
    <row r="3284" ht="12.75">
      <c r="X3284" s="388"/>
    </row>
    <row r="3285" ht="12.75">
      <c r="X3285" s="388"/>
    </row>
    <row r="3286" ht="12.75">
      <c r="X3286" s="388"/>
    </row>
    <row r="3287" ht="12.75">
      <c r="X3287" s="388"/>
    </row>
    <row r="3288" ht="12.75">
      <c r="X3288" s="388"/>
    </row>
    <row r="3289" ht="12.75">
      <c r="X3289" s="388"/>
    </row>
    <row r="3290" ht="12.75">
      <c r="X3290" s="388"/>
    </row>
    <row r="3291" ht="12.75">
      <c r="X3291" s="388"/>
    </row>
    <row r="3292" ht="12.75">
      <c r="X3292" s="388"/>
    </row>
    <row r="3293" ht="12.75">
      <c r="X3293" s="388"/>
    </row>
    <row r="3294" ht="12.75">
      <c r="X3294" s="388"/>
    </row>
    <row r="3295" ht="12.75">
      <c r="X3295" s="388"/>
    </row>
    <row r="3296" ht="12.75">
      <c r="X3296" s="388"/>
    </row>
    <row r="3297" ht="12.75">
      <c r="X3297" s="388"/>
    </row>
    <row r="3298" ht="12.75">
      <c r="X3298" s="388"/>
    </row>
    <row r="3299" ht="12.75">
      <c r="X3299" s="388"/>
    </row>
    <row r="3300" ht="12.75">
      <c r="X3300" s="388"/>
    </row>
    <row r="3301" ht="12.75">
      <c r="X3301" s="388"/>
    </row>
    <row r="3302" ht="12.75">
      <c r="X3302" s="388"/>
    </row>
    <row r="3303" ht="12.75">
      <c r="X3303" s="388"/>
    </row>
    <row r="3304" ht="12.75">
      <c r="X3304" s="388"/>
    </row>
    <row r="3305" ht="12.75">
      <c r="X3305" s="388"/>
    </row>
    <row r="3306" ht="12.75">
      <c r="X3306" s="388"/>
    </row>
    <row r="3307" ht="12.75">
      <c r="X3307" s="388"/>
    </row>
    <row r="3308" ht="12.75">
      <c r="X3308" s="388"/>
    </row>
    <row r="3309" ht="12.75">
      <c r="X3309" s="388"/>
    </row>
    <row r="3310" ht="12.75">
      <c r="X3310" s="388"/>
    </row>
    <row r="3311" ht="12.75">
      <c r="X3311" s="388"/>
    </row>
    <row r="3312" ht="12.75">
      <c r="X3312" s="388"/>
    </row>
    <row r="3313" ht="12.75">
      <c r="X3313" s="388"/>
    </row>
    <row r="3314" ht="12.75">
      <c r="X3314" s="388"/>
    </row>
    <row r="3315" ht="12.75">
      <c r="X3315" s="388"/>
    </row>
    <row r="3316" ht="12.75">
      <c r="X3316" s="388"/>
    </row>
    <row r="3317" ht="12.75">
      <c r="X3317" s="388"/>
    </row>
    <row r="3318" ht="12.75">
      <c r="X3318" s="388"/>
    </row>
    <row r="3319" ht="12.75">
      <c r="X3319" s="388"/>
    </row>
    <row r="3320" ht="12.75">
      <c r="X3320" s="388"/>
    </row>
    <row r="3321" ht="12.75">
      <c r="X3321" s="388"/>
    </row>
    <row r="3322" ht="12.75">
      <c r="X3322" s="388"/>
    </row>
    <row r="3323" ht="12.75">
      <c r="X3323" s="388"/>
    </row>
    <row r="3324" ht="12.75">
      <c r="X3324" s="388"/>
    </row>
    <row r="3325" ht="12.75">
      <c r="X3325" s="388"/>
    </row>
    <row r="3326" ht="12.75">
      <c r="X3326" s="388"/>
    </row>
    <row r="3327" ht="12.75">
      <c r="X3327" s="388"/>
    </row>
    <row r="3328" ht="12.75">
      <c r="X3328" s="388"/>
    </row>
    <row r="3329" ht="12.75">
      <c r="X3329" s="388"/>
    </row>
    <row r="3330" ht="12.75">
      <c r="X3330" s="388"/>
    </row>
    <row r="3331" ht="12.75">
      <c r="X3331" s="388"/>
    </row>
    <row r="3332" ht="12.75">
      <c r="X3332" s="388"/>
    </row>
    <row r="3333" ht="12.75">
      <c r="X3333" s="388"/>
    </row>
    <row r="3334" ht="12.75">
      <c r="X3334" s="388"/>
    </row>
    <row r="3335" ht="12.75">
      <c r="X3335" s="388"/>
    </row>
    <row r="3336" ht="12.75">
      <c r="X3336" s="388"/>
    </row>
    <row r="3337" ht="12.75">
      <c r="X3337" s="388"/>
    </row>
    <row r="3338" ht="12.75">
      <c r="X3338" s="388"/>
    </row>
    <row r="3339" ht="12.75">
      <c r="X3339" s="388"/>
    </row>
    <row r="3340" ht="12.75">
      <c r="X3340" s="388"/>
    </row>
    <row r="3341" ht="12.75">
      <c r="X3341" s="388"/>
    </row>
    <row r="3342" ht="12.75">
      <c r="X3342" s="388"/>
    </row>
    <row r="3343" ht="12.75">
      <c r="X3343" s="388"/>
    </row>
    <row r="3344" ht="12.75">
      <c r="X3344" s="388"/>
    </row>
    <row r="3345" ht="12.75">
      <c r="X3345" s="388"/>
    </row>
    <row r="3346" ht="12.75">
      <c r="X3346" s="388"/>
    </row>
    <row r="3347" ht="12.75">
      <c r="X3347" s="388"/>
    </row>
    <row r="3348" ht="12.75">
      <c r="X3348" s="388"/>
    </row>
    <row r="3349" ht="12.75">
      <c r="X3349" s="388"/>
    </row>
    <row r="3350" ht="12.75">
      <c r="X3350" s="388"/>
    </row>
    <row r="3351" ht="12.75">
      <c r="X3351" s="388"/>
    </row>
    <row r="3352" ht="12.75">
      <c r="X3352" s="388"/>
    </row>
    <row r="3353" ht="12.75">
      <c r="X3353" s="388"/>
    </row>
    <row r="3354" ht="12.75">
      <c r="X3354" s="388"/>
    </row>
    <row r="3355" ht="12.75">
      <c r="X3355" s="388"/>
    </row>
    <row r="3356" ht="12.75">
      <c r="X3356" s="388"/>
    </row>
    <row r="3357" ht="12.75">
      <c r="X3357" s="388"/>
    </row>
    <row r="3358" ht="12.75">
      <c r="X3358" s="388"/>
    </row>
    <row r="3359" ht="12.75">
      <c r="X3359" s="388"/>
    </row>
    <row r="3360" ht="12.75">
      <c r="X3360" s="388"/>
    </row>
    <row r="3361" ht="12.75">
      <c r="X3361" s="388"/>
    </row>
    <row r="3362" ht="12.75">
      <c r="X3362" s="388"/>
    </row>
    <row r="3363" ht="12.75">
      <c r="X3363" s="388"/>
    </row>
    <row r="3364" ht="12.75">
      <c r="X3364" s="388"/>
    </row>
    <row r="3365" ht="12.75">
      <c r="X3365" s="388"/>
    </row>
    <row r="3366" ht="12.75">
      <c r="X3366" s="388"/>
    </row>
    <row r="3367" ht="12.75">
      <c r="X3367" s="388"/>
    </row>
    <row r="3368" ht="12.75">
      <c r="X3368" s="388"/>
    </row>
    <row r="3369" ht="12.75">
      <c r="X3369" s="388"/>
    </row>
    <row r="3370" ht="12.75">
      <c r="X3370" s="388"/>
    </row>
    <row r="3371" ht="12.75">
      <c r="X3371" s="388"/>
    </row>
    <row r="3372" ht="12.75">
      <c r="X3372" s="388"/>
    </row>
    <row r="3373" ht="12.75">
      <c r="X3373" s="388"/>
    </row>
    <row r="3374" ht="12.75">
      <c r="X3374" s="388"/>
    </row>
    <row r="3375" ht="12.75">
      <c r="X3375" s="388"/>
    </row>
    <row r="3376" ht="12.75">
      <c r="X3376" s="388"/>
    </row>
    <row r="3377" ht="12.75">
      <c r="X3377" s="388"/>
    </row>
    <row r="3378" ht="12.75">
      <c r="X3378" s="388"/>
    </row>
    <row r="3379" ht="12.75">
      <c r="X3379" s="388"/>
    </row>
    <row r="3380" ht="12.75">
      <c r="X3380" s="388"/>
    </row>
    <row r="3381" ht="12.75">
      <c r="X3381" s="388"/>
    </row>
    <row r="3382" ht="12.75">
      <c r="X3382" s="388"/>
    </row>
    <row r="3383" ht="12.75">
      <c r="X3383" s="388"/>
    </row>
    <row r="3384" ht="12.75">
      <c r="X3384" s="388"/>
    </row>
    <row r="3385" ht="12.75">
      <c r="X3385" s="388"/>
    </row>
    <row r="3386" ht="12.75">
      <c r="X3386" s="388"/>
    </row>
    <row r="3387" ht="12.75">
      <c r="X3387" s="388"/>
    </row>
    <row r="3388" ht="12.75">
      <c r="X3388" s="388"/>
    </row>
    <row r="3389" ht="12.75">
      <c r="X3389" s="388"/>
    </row>
    <row r="3390" ht="12.75">
      <c r="X3390" s="388"/>
    </row>
    <row r="3391" ht="12.75">
      <c r="X3391" s="388"/>
    </row>
    <row r="3392" ht="12.75">
      <c r="X3392" s="388"/>
    </row>
    <row r="3393" ht="12.75">
      <c r="X3393" s="388"/>
    </row>
    <row r="3394" ht="12.75">
      <c r="X3394" s="388"/>
    </row>
    <row r="3395" ht="12.75">
      <c r="X3395" s="388"/>
    </row>
    <row r="3396" ht="12.75">
      <c r="X3396" s="388"/>
    </row>
    <row r="3397" ht="12.75">
      <c r="X3397" s="388"/>
    </row>
    <row r="3398" ht="12.75">
      <c r="X3398" s="388"/>
    </row>
    <row r="3399" ht="12.75">
      <c r="X3399" s="388"/>
    </row>
    <row r="3400" ht="12.75">
      <c r="X3400" s="388"/>
    </row>
    <row r="3401" ht="12.75">
      <c r="X3401" s="388"/>
    </row>
    <row r="3402" ht="12.75">
      <c r="X3402" s="388"/>
    </row>
    <row r="3403" ht="12.75">
      <c r="X3403" s="388"/>
    </row>
    <row r="3404" ht="12.75">
      <c r="X3404" s="388"/>
    </row>
    <row r="3405" ht="12.75">
      <c r="X3405" s="388"/>
    </row>
    <row r="3406" ht="12.75">
      <c r="X3406" s="388"/>
    </row>
    <row r="3407" ht="12.75">
      <c r="X3407" s="388"/>
    </row>
    <row r="3408" ht="12.75">
      <c r="X3408" s="388"/>
    </row>
    <row r="3409" ht="12.75">
      <c r="X3409" s="388"/>
    </row>
    <row r="3410" ht="12.75">
      <c r="X3410" s="388"/>
    </row>
    <row r="3411" ht="12.75">
      <c r="X3411" s="388"/>
    </row>
    <row r="3412" ht="12.75">
      <c r="X3412" s="388"/>
    </row>
    <row r="3413" ht="12.75">
      <c r="X3413" s="388"/>
    </row>
    <row r="3414" ht="12.75">
      <c r="X3414" s="388"/>
    </row>
    <row r="3415" ht="12.75">
      <c r="X3415" s="388"/>
    </row>
    <row r="3416" ht="12.75">
      <c r="X3416" s="388"/>
    </row>
    <row r="3417" ht="12.75">
      <c r="X3417" s="388"/>
    </row>
    <row r="3418" ht="12.75">
      <c r="X3418" s="388"/>
    </row>
    <row r="3419" ht="12.75">
      <c r="X3419" s="388"/>
    </row>
    <row r="3420" ht="12.75">
      <c r="X3420" s="388"/>
    </row>
    <row r="3421" ht="12.75">
      <c r="X3421" s="388"/>
    </row>
    <row r="3422" ht="12.75">
      <c r="X3422" s="388"/>
    </row>
    <row r="3423" ht="12.75">
      <c r="X3423" s="388"/>
    </row>
    <row r="3424" ht="12.75">
      <c r="X3424" s="388"/>
    </row>
    <row r="3425" ht="12.75">
      <c r="X3425" s="388"/>
    </row>
    <row r="3426" ht="12.75">
      <c r="X3426" s="388"/>
    </row>
    <row r="3427" ht="12.75">
      <c r="X3427" s="388"/>
    </row>
    <row r="3428" ht="12.75">
      <c r="X3428" s="388"/>
    </row>
    <row r="3429" ht="12.75">
      <c r="X3429" s="388"/>
    </row>
    <row r="3430" ht="12.75">
      <c r="X3430" s="388"/>
    </row>
    <row r="3431" ht="12.75">
      <c r="X3431" s="388"/>
    </row>
    <row r="3432" ht="12.75">
      <c r="X3432" s="388"/>
    </row>
    <row r="3433" ht="12.75">
      <c r="X3433" s="388"/>
    </row>
    <row r="3434" ht="12.75">
      <c r="X3434" s="388"/>
    </row>
    <row r="3435" ht="12.75">
      <c r="X3435" s="388"/>
    </row>
    <row r="3436" ht="12.75">
      <c r="X3436" s="388"/>
    </row>
    <row r="3437" ht="12.75">
      <c r="X3437" s="388"/>
    </row>
    <row r="3438" ht="12.75">
      <c r="X3438" s="388"/>
    </row>
    <row r="3439" ht="12.75">
      <c r="X3439" s="388"/>
    </row>
    <row r="3440" ht="12.75">
      <c r="X3440" s="388"/>
    </row>
    <row r="3441" ht="12.75">
      <c r="X3441" s="388"/>
    </row>
    <row r="3442" ht="12.75">
      <c r="X3442" s="388"/>
    </row>
    <row r="3443" ht="12.75">
      <c r="X3443" s="388"/>
    </row>
    <row r="3444" ht="12.75">
      <c r="X3444" s="388"/>
    </row>
    <row r="3445" ht="12.75">
      <c r="X3445" s="388"/>
    </row>
    <row r="3446" ht="12.75">
      <c r="X3446" s="388"/>
    </row>
    <row r="3447" ht="12.75">
      <c r="X3447" s="388"/>
    </row>
    <row r="3448" ht="12.75">
      <c r="X3448" s="388"/>
    </row>
    <row r="3449" ht="12.75">
      <c r="X3449" s="388"/>
    </row>
    <row r="3450" ht="12.75">
      <c r="X3450" s="388"/>
    </row>
    <row r="3451" ht="12.75">
      <c r="X3451" s="388"/>
    </row>
    <row r="3452" ht="12.75">
      <c r="X3452" s="388"/>
    </row>
    <row r="3453" ht="12.75">
      <c r="X3453" s="388"/>
    </row>
    <row r="3454" ht="12.75">
      <c r="X3454" s="388"/>
    </row>
    <row r="3455" ht="12.75">
      <c r="X3455" s="388"/>
    </row>
    <row r="3456" ht="12.75">
      <c r="X3456" s="388"/>
    </row>
    <row r="3457" ht="12.75">
      <c r="X3457" s="388"/>
    </row>
    <row r="3458" ht="12.75">
      <c r="X3458" s="388"/>
    </row>
    <row r="3459" ht="12.75">
      <c r="X3459" s="388"/>
    </row>
    <row r="3460" ht="12.75">
      <c r="X3460" s="388"/>
    </row>
    <row r="3461" ht="12.75">
      <c r="X3461" s="388"/>
    </row>
    <row r="3462" ht="12.75">
      <c r="X3462" s="388"/>
    </row>
    <row r="3463" ht="12.75">
      <c r="X3463" s="388"/>
    </row>
    <row r="3464" ht="12.75">
      <c r="X3464" s="388"/>
    </row>
    <row r="3465" ht="12.75">
      <c r="X3465" s="388"/>
    </row>
    <row r="3466" ht="12.75">
      <c r="X3466" s="388"/>
    </row>
    <row r="3467" ht="12.75">
      <c r="X3467" s="388"/>
    </row>
    <row r="3468" ht="12.75">
      <c r="X3468" s="388"/>
    </row>
    <row r="3469" ht="12.75">
      <c r="X3469" s="388"/>
    </row>
    <row r="3470" ht="12.75">
      <c r="X3470" s="388"/>
    </row>
    <row r="3471" ht="12.75">
      <c r="X3471" s="388"/>
    </row>
    <row r="3472" ht="12.75">
      <c r="X3472" s="388"/>
    </row>
    <row r="3473" ht="12.75">
      <c r="X3473" s="388"/>
    </row>
    <row r="3474" ht="12.75">
      <c r="X3474" s="388"/>
    </row>
    <row r="3475" ht="12.75">
      <c r="X3475" s="388"/>
    </row>
    <row r="3476" ht="12.75">
      <c r="X3476" s="388"/>
    </row>
    <row r="3477" ht="12.75">
      <c r="X3477" s="388"/>
    </row>
    <row r="3478" ht="12.75">
      <c r="X3478" s="388"/>
    </row>
    <row r="3479" ht="12.75">
      <c r="X3479" s="388"/>
    </row>
    <row r="3480" ht="12.75">
      <c r="X3480" s="388"/>
    </row>
    <row r="3481" ht="12.75">
      <c r="X3481" s="388"/>
    </row>
    <row r="3482" ht="12.75">
      <c r="X3482" s="388"/>
    </row>
    <row r="3483" ht="12.75">
      <c r="X3483" s="388"/>
    </row>
    <row r="3484" ht="12.75">
      <c r="X3484" s="388"/>
    </row>
    <row r="3485" ht="12.75">
      <c r="X3485" s="388"/>
    </row>
    <row r="3486" ht="12.75">
      <c r="X3486" s="388"/>
    </row>
    <row r="3487" ht="12.75">
      <c r="X3487" s="388"/>
    </row>
    <row r="3488" ht="12.75">
      <c r="X3488" s="388"/>
    </row>
    <row r="3489" ht="12.75">
      <c r="X3489" s="388"/>
    </row>
    <row r="3490" ht="12.75">
      <c r="X3490" s="388"/>
    </row>
    <row r="3491" ht="12.75">
      <c r="X3491" s="388"/>
    </row>
    <row r="3492" ht="12.75">
      <c r="X3492" s="388"/>
    </row>
    <row r="3493" ht="12.75">
      <c r="X3493" s="388"/>
    </row>
    <row r="3494" ht="12.75">
      <c r="X3494" s="388"/>
    </row>
    <row r="3495" ht="12.75">
      <c r="X3495" s="388"/>
    </row>
    <row r="3496" ht="12.75">
      <c r="X3496" s="388"/>
    </row>
    <row r="3497" ht="12.75">
      <c r="X3497" s="388"/>
    </row>
    <row r="3498" ht="12.75">
      <c r="X3498" s="388"/>
    </row>
    <row r="3499" ht="12.75">
      <c r="X3499" s="388"/>
    </row>
    <row r="3500" ht="12.75">
      <c r="X3500" s="388"/>
    </row>
    <row r="3501" ht="12.75">
      <c r="X3501" s="388"/>
    </row>
    <row r="3502" ht="12.75">
      <c r="X3502" s="388"/>
    </row>
    <row r="3503" ht="12.75">
      <c r="X3503" s="388"/>
    </row>
    <row r="3504" ht="12.75">
      <c r="X3504" s="388"/>
    </row>
    <row r="3505" ht="12.75">
      <c r="X3505" s="388"/>
    </row>
    <row r="3506" ht="12.75">
      <c r="X3506" s="388"/>
    </row>
    <row r="3507" ht="12.75">
      <c r="X3507" s="388"/>
    </row>
    <row r="3508" ht="12.75">
      <c r="X3508" s="388"/>
    </row>
    <row r="3509" ht="12.75">
      <c r="X3509" s="388"/>
    </row>
    <row r="3510" ht="12.75">
      <c r="X3510" s="388"/>
    </row>
    <row r="3511" ht="12.75">
      <c r="X3511" s="388"/>
    </row>
    <row r="3512" ht="12.75">
      <c r="X3512" s="388"/>
    </row>
    <row r="3513" ht="12.75">
      <c r="X3513" s="388"/>
    </row>
    <row r="3514" ht="12.75">
      <c r="X3514" s="388"/>
    </row>
    <row r="3515" ht="12.75">
      <c r="X3515" s="388"/>
    </row>
    <row r="3516" ht="12.75">
      <c r="X3516" s="388"/>
    </row>
    <row r="3517" ht="12.75">
      <c r="X3517" s="388"/>
    </row>
    <row r="3518" ht="12.75">
      <c r="X3518" s="388"/>
    </row>
    <row r="3519" ht="12.75">
      <c r="X3519" s="388"/>
    </row>
    <row r="3520" ht="12.75">
      <c r="X3520" s="388"/>
    </row>
    <row r="3521" ht="12.75">
      <c r="X3521" s="388"/>
    </row>
    <row r="3522" ht="12.75">
      <c r="X3522" s="388"/>
    </row>
    <row r="3523" ht="12.75">
      <c r="X3523" s="388"/>
    </row>
    <row r="3524" ht="12.75">
      <c r="X3524" s="388"/>
    </row>
    <row r="3525" ht="12.75">
      <c r="X3525" s="388"/>
    </row>
    <row r="3526" ht="12.75">
      <c r="X3526" s="388"/>
    </row>
    <row r="3527" ht="12.75">
      <c r="X3527" s="388"/>
    </row>
    <row r="3528" ht="12.75">
      <c r="X3528" s="388"/>
    </row>
    <row r="3529" ht="12.75">
      <c r="X3529" s="388"/>
    </row>
    <row r="3530" ht="12.75">
      <c r="X3530" s="388"/>
    </row>
    <row r="3531" ht="12.75">
      <c r="X3531" s="388"/>
    </row>
    <row r="3532" ht="12.75">
      <c r="X3532" s="388"/>
    </row>
    <row r="3533" ht="12.75">
      <c r="X3533" s="388"/>
    </row>
    <row r="3534" ht="12.75">
      <c r="X3534" s="388"/>
    </row>
    <row r="3535" ht="12.75">
      <c r="X3535" s="388"/>
    </row>
    <row r="3536" ht="12.75">
      <c r="X3536" s="388"/>
    </row>
    <row r="3537" ht="12.75">
      <c r="X3537" s="388"/>
    </row>
    <row r="3538" ht="12.75">
      <c r="X3538" s="388"/>
    </row>
    <row r="3539" ht="12.75">
      <c r="X3539" s="388"/>
    </row>
    <row r="3540" ht="12.75">
      <c r="X3540" s="388"/>
    </row>
    <row r="3541" ht="12.75">
      <c r="X3541" s="388"/>
    </row>
    <row r="3542" ht="12.75">
      <c r="X3542" s="388"/>
    </row>
    <row r="3543" ht="12.75">
      <c r="X3543" s="388"/>
    </row>
    <row r="3544" ht="12.75">
      <c r="X3544" s="388"/>
    </row>
    <row r="3545" ht="12.75">
      <c r="X3545" s="388"/>
    </row>
    <row r="3546" ht="12.75">
      <c r="X3546" s="388"/>
    </row>
    <row r="3547" ht="12.75">
      <c r="X3547" s="388"/>
    </row>
    <row r="3548" ht="12.75">
      <c r="X3548" s="388"/>
    </row>
    <row r="3549" ht="12.75">
      <c r="X3549" s="388"/>
    </row>
    <row r="3550" ht="12.75">
      <c r="X3550" s="388"/>
    </row>
    <row r="3551" ht="12.75">
      <c r="X3551" s="388"/>
    </row>
    <row r="3552" ht="12.75">
      <c r="X3552" s="388"/>
    </row>
    <row r="3553" ht="12.75">
      <c r="X3553" s="388"/>
    </row>
    <row r="3554" ht="12.75">
      <c r="X3554" s="388"/>
    </row>
    <row r="3555" ht="12.75">
      <c r="X3555" s="388"/>
    </row>
    <row r="3556" ht="12.75">
      <c r="X3556" s="388"/>
    </row>
    <row r="3557" ht="12.75">
      <c r="X3557" s="388"/>
    </row>
    <row r="3558" ht="12.75">
      <c r="X3558" s="388"/>
    </row>
    <row r="3559" ht="12.75">
      <c r="X3559" s="388"/>
    </row>
    <row r="3560" ht="12.75">
      <c r="X3560" s="388"/>
    </row>
    <row r="3561" ht="12.75">
      <c r="X3561" s="388"/>
    </row>
    <row r="3562" ht="12.75">
      <c r="X3562" s="388"/>
    </row>
    <row r="3563" ht="12.75">
      <c r="X3563" s="388"/>
    </row>
    <row r="3564" ht="12.75">
      <c r="X3564" s="388"/>
    </row>
    <row r="3565" ht="12.75">
      <c r="X3565" s="388"/>
    </row>
    <row r="3566" ht="12.75">
      <c r="X3566" s="388"/>
    </row>
    <row r="3567" ht="12.75">
      <c r="X3567" s="388"/>
    </row>
    <row r="3568" ht="12.75">
      <c r="X3568" s="388"/>
    </row>
    <row r="3569" ht="12.75">
      <c r="X3569" s="388"/>
    </row>
    <row r="3570" ht="12.75">
      <c r="X3570" s="388"/>
    </row>
    <row r="3571" ht="12.75">
      <c r="X3571" s="388"/>
    </row>
    <row r="3572" ht="12.75">
      <c r="X3572" s="388"/>
    </row>
    <row r="3573" ht="12.75">
      <c r="X3573" s="388"/>
    </row>
    <row r="3574" ht="12.75">
      <c r="X3574" s="388"/>
    </row>
    <row r="3575" ht="12.75">
      <c r="X3575" s="388"/>
    </row>
    <row r="3576" ht="12.75">
      <c r="X3576" s="388"/>
    </row>
    <row r="3577" ht="12.75">
      <c r="X3577" s="388"/>
    </row>
    <row r="3578" ht="12.75">
      <c r="X3578" s="388"/>
    </row>
    <row r="3579" ht="12.75">
      <c r="X3579" s="388"/>
    </row>
    <row r="3580" ht="12.75">
      <c r="X3580" s="388"/>
    </row>
    <row r="3581" ht="12.75">
      <c r="X3581" s="388"/>
    </row>
    <row r="3582" ht="12.75">
      <c r="X3582" s="388"/>
    </row>
    <row r="3583" ht="12.75">
      <c r="X3583" s="388"/>
    </row>
    <row r="3584" ht="12.75">
      <c r="X3584" s="388"/>
    </row>
    <row r="3585" ht="12.75">
      <c r="X3585" s="388"/>
    </row>
    <row r="3586" ht="12.75">
      <c r="X3586" s="388"/>
    </row>
    <row r="3587" ht="12.75">
      <c r="X3587" s="388"/>
    </row>
    <row r="3588" ht="12.75">
      <c r="X3588" s="388"/>
    </row>
    <row r="3589" ht="12.75">
      <c r="X3589" s="388"/>
    </row>
    <row r="3590" ht="12.75">
      <c r="X3590" s="388"/>
    </row>
    <row r="3591" ht="12.75">
      <c r="X3591" s="388"/>
    </row>
    <row r="3592" ht="12.75">
      <c r="X3592" s="388"/>
    </row>
    <row r="3593" ht="12.75">
      <c r="X3593" s="388"/>
    </row>
    <row r="3594" ht="12.75">
      <c r="X3594" s="388"/>
    </row>
    <row r="3595" ht="12.75">
      <c r="X3595" s="388"/>
    </row>
    <row r="3596" ht="12.75">
      <c r="X3596" s="388"/>
    </row>
    <row r="3597" ht="12.75">
      <c r="X3597" s="388"/>
    </row>
    <row r="3598" ht="12.75">
      <c r="X3598" s="388"/>
    </row>
    <row r="3599" ht="12.75">
      <c r="X3599" s="388"/>
    </row>
    <row r="3600" ht="12.75">
      <c r="X3600" s="388"/>
    </row>
    <row r="3601" ht="12.75">
      <c r="X3601" s="388"/>
    </row>
    <row r="3602" ht="12.75">
      <c r="X3602" s="388"/>
    </row>
    <row r="3603" ht="12.75">
      <c r="X3603" s="388"/>
    </row>
    <row r="3604" ht="12.75">
      <c r="X3604" s="388"/>
    </row>
    <row r="3605" ht="12.75">
      <c r="X3605" s="388"/>
    </row>
    <row r="3606" ht="12.75">
      <c r="X3606" s="388"/>
    </row>
    <row r="3607" ht="12.75">
      <c r="X3607" s="388"/>
    </row>
    <row r="3608" ht="12.75">
      <c r="X3608" s="388"/>
    </row>
    <row r="3609" ht="12.75">
      <c r="X3609" s="388"/>
    </row>
    <row r="3610" ht="12.75">
      <c r="X3610" s="388"/>
    </row>
    <row r="3611" ht="12.75">
      <c r="X3611" s="388"/>
    </row>
    <row r="3612" ht="12.75">
      <c r="X3612" s="388"/>
    </row>
    <row r="3613" ht="12.75">
      <c r="X3613" s="388"/>
    </row>
    <row r="3614" ht="12.75">
      <c r="X3614" s="388"/>
    </row>
    <row r="3615" ht="12.75">
      <c r="X3615" s="388"/>
    </row>
    <row r="3616" ht="12.75">
      <c r="X3616" s="388"/>
    </row>
    <row r="3617" ht="12.75">
      <c r="X3617" s="388"/>
    </row>
    <row r="3618" ht="12.75">
      <c r="X3618" s="388"/>
    </row>
    <row r="3619" ht="12.75">
      <c r="X3619" s="388"/>
    </row>
    <row r="3620" ht="12.75">
      <c r="X3620" s="388"/>
    </row>
    <row r="3621" ht="12.75">
      <c r="X3621" s="388"/>
    </row>
    <row r="3622" ht="12.75">
      <c r="X3622" s="388"/>
    </row>
    <row r="3623" ht="12.75">
      <c r="X3623" s="388"/>
    </row>
    <row r="3624" ht="12.75">
      <c r="X3624" s="388"/>
    </row>
    <row r="3625" ht="12.75">
      <c r="X3625" s="388"/>
    </row>
    <row r="3626" ht="12.75">
      <c r="X3626" s="388"/>
    </row>
    <row r="3627" ht="12.75">
      <c r="X3627" s="388"/>
    </row>
    <row r="3628" ht="12.75">
      <c r="X3628" s="388"/>
    </row>
    <row r="3629" ht="12.75">
      <c r="X3629" s="388"/>
    </row>
    <row r="3630" ht="12.75">
      <c r="X3630" s="388"/>
    </row>
    <row r="3631" ht="12.75">
      <c r="X3631" s="388"/>
    </row>
    <row r="3632" ht="12.75">
      <c r="X3632" s="388"/>
    </row>
    <row r="3633" ht="12.75">
      <c r="X3633" s="388"/>
    </row>
    <row r="3634" ht="12.75">
      <c r="X3634" s="388"/>
    </row>
    <row r="3635" ht="12.75">
      <c r="X3635" s="388"/>
    </row>
    <row r="3636" ht="12.75">
      <c r="X3636" s="388"/>
    </row>
    <row r="3637" ht="12.75">
      <c r="X3637" s="388"/>
    </row>
    <row r="3638" ht="12.75">
      <c r="X3638" s="388"/>
    </row>
    <row r="3639" ht="12.75">
      <c r="X3639" s="388"/>
    </row>
    <row r="3640" ht="12.75">
      <c r="X3640" s="388"/>
    </row>
    <row r="3641" ht="12.75">
      <c r="X3641" s="388"/>
    </row>
    <row r="3642" ht="12.75">
      <c r="X3642" s="388"/>
    </row>
    <row r="3643" ht="12.75">
      <c r="X3643" s="388"/>
    </row>
    <row r="3644" ht="12.75">
      <c r="X3644" s="388"/>
    </row>
    <row r="3645" ht="12.75">
      <c r="X3645" s="388"/>
    </row>
    <row r="3646" ht="12.75">
      <c r="X3646" s="388"/>
    </row>
    <row r="3647" ht="12.75">
      <c r="X3647" s="388"/>
    </row>
    <row r="3648" ht="12.75">
      <c r="X3648" s="388"/>
    </row>
    <row r="3649" ht="12.75">
      <c r="X3649" s="388"/>
    </row>
    <row r="3650" ht="12.75">
      <c r="X3650" s="388"/>
    </row>
    <row r="3651" ht="12.75">
      <c r="X3651" s="388"/>
    </row>
    <row r="3652" ht="12.75">
      <c r="X3652" s="388"/>
    </row>
    <row r="3653" ht="12.75">
      <c r="X3653" s="388"/>
    </row>
    <row r="3654" ht="12.75">
      <c r="X3654" s="388"/>
    </row>
    <row r="3655" ht="12.75">
      <c r="X3655" s="388"/>
    </row>
    <row r="3656" ht="12.75">
      <c r="X3656" s="388"/>
    </row>
    <row r="3657" ht="12.75">
      <c r="X3657" s="388"/>
    </row>
    <row r="3658" ht="12.75">
      <c r="X3658" s="388"/>
    </row>
    <row r="3659" ht="12.75">
      <c r="X3659" s="388"/>
    </row>
    <row r="3660" ht="12.75">
      <c r="X3660" s="388"/>
    </row>
    <row r="3661" ht="12.75">
      <c r="X3661" s="388"/>
    </row>
    <row r="3662" ht="12.75">
      <c r="X3662" s="388"/>
    </row>
    <row r="3663" ht="12.75">
      <c r="X3663" s="388"/>
    </row>
    <row r="3664" ht="12.75">
      <c r="X3664" s="388"/>
    </row>
    <row r="3665" ht="12.75">
      <c r="X3665" s="388"/>
    </row>
    <row r="3666" ht="12.75">
      <c r="X3666" s="388"/>
    </row>
    <row r="3667" ht="12.75">
      <c r="X3667" s="388"/>
    </row>
    <row r="3668" ht="12.75">
      <c r="X3668" s="388"/>
    </row>
    <row r="3669" ht="12.75">
      <c r="X3669" s="388"/>
    </row>
    <row r="3670" ht="12.75">
      <c r="X3670" s="388"/>
    </row>
    <row r="3671" ht="12.75">
      <c r="X3671" s="388"/>
    </row>
    <row r="3672" ht="12.75">
      <c r="X3672" s="388"/>
    </row>
    <row r="3673" ht="12.75">
      <c r="X3673" s="388"/>
    </row>
    <row r="3674" ht="12.75">
      <c r="X3674" s="388"/>
    </row>
    <row r="3675" ht="12.75">
      <c r="X3675" s="388"/>
    </row>
    <row r="3676" ht="12.75">
      <c r="X3676" s="388"/>
    </row>
    <row r="3677" ht="12.75">
      <c r="X3677" s="388"/>
    </row>
    <row r="3678" ht="12.75">
      <c r="X3678" s="388"/>
    </row>
    <row r="3679" ht="12.75">
      <c r="X3679" s="388"/>
    </row>
    <row r="3680" ht="12.75">
      <c r="X3680" s="388"/>
    </row>
    <row r="3681" ht="12.75">
      <c r="X3681" s="388"/>
    </row>
    <row r="3682" ht="12.75">
      <c r="X3682" s="388"/>
    </row>
    <row r="3683" ht="12.75">
      <c r="X3683" s="388"/>
    </row>
    <row r="3684" ht="12.75">
      <c r="X3684" s="388"/>
    </row>
    <row r="3685" ht="12.75">
      <c r="X3685" s="388"/>
    </row>
    <row r="3686" ht="12.75">
      <c r="X3686" s="388"/>
    </row>
    <row r="3687" ht="12.75">
      <c r="X3687" s="388"/>
    </row>
    <row r="3688" ht="12.75">
      <c r="X3688" s="388"/>
    </row>
    <row r="3689" ht="12.75">
      <c r="X3689" s="388"/>
    </row>
    <row r="3690" ht="12.75">
      <c r="X3690" s="388"/>
    </row>
    <row r="3691" ht="12.75">
      <c r="X3691" s="388"/>
    </row>
    <row r="3692" ht="12.75">
      <c r="X3692" s="388"/>
    </row>
    <row r="3693" ht="12.75">
      <c r="X3693" s="388"/>
    </row>
    <row r="3694" ht="12.75">
      <c r="X3694" s="388"/>
    </row>
    <row r="3695" ht="12.75">
      <c r="X3695" s="388"/>
    </row>
    <row r="3696" ht="12.75">
      <c r="X3696" s="388"/>
    </row>
    <row r="3697" ht="12.75">
      <c r="X3697" s="388"/>
    </row>
    <row r="3698" ht="12.75">
      <c r="X3698" s="388"/>
    </row>
    <row r="3699" ht="12.75">
      <c r="X3699" s="388"/>
    </row>
    <row r="3700" ht="12.75">
      <c r="X3700" s="388"/>
    </row>
    <row r="3701" ht="12.75">
      <c r="X3701" s="388"/>
    </row>
    <row r="3702" ht="12.75">
      <c r="X3702" s="388"/>
    </row>
    <row r="3703" ht="12.75">
      <c r="X3703" s="388"/>
    </row>
    <row r="3704" ht="12.75">
      <c r="X3704" s="388"/>
    </row>
    <row r="3705" ht="12.75">
      <c r="X3705" s="388"/>
    </row>
    <row r="3706" ht="12.75">
      <c r="X3706" s="388"/>
    </row>
    <row r="3707" ht="12.75">
      <c r="X3707" s="388"/>
    </row>
    <row r="3708" ht="12.75">
      <c r="X3708" s="388"/>
    </row>
    <row r="3709" ht="12.75">
      <c r="X3709" s="388"/>
    </row>
    <row r="3710" ht="12.75">
      <c r="X3710" s="388"/>
    </row>
    <row r="3711" ht="12.75">
      <c r="X3711" s="388"/>
    </row>
    <row r="3712" ht="12.75">
      <c r="X3712" s="388"/>
    </row>
    <row r="3713" ht="12.75">
      <c r="X3713" s="388"/>
    </row>
    <row r="3714" ht="12.75">
      <c r="X3714" s="388"/>
    </row>
    <row r="3715" ht="12.75">
      <c r="X3715" s="388"/>
    </row>
    <row r="3716" ht="12.75">
      <c r="X3716" s="388"/>
    </row>
    <row r="3717" ht="12.75">
      <c r="X3717" s="388"/>
    </row>
    <row r="3718" ht="12.75">
      <c r="X3718" s="388"/>
    </row>
    <row r="3719" ht="12.75">
      <c r="X3719" s="388"/>
    </row>
    <row r="3720" ht="12.75">
      <c r="X3720" s="388"/>
    </row>
    <row r="3721" ht="12.75">
      <c r="X3721" s="388"/>
    </row>
    <row r="3722" ht="12.75">
      <c r="X3722" s="388"/>
    </row>
    <row r="3723" ht="12.75">
      <c r="X3723" s="388"/>
    </row>
    <row r="3724" ht="12.75">
      <c r="X3724" s="388"/>
    </row>
    <row r="3725" ht="12.75">
      <c r="X3725" s="388"/>
    </row>
    <row r="3726" ht="12.75">
      <c r="X3726" s="388"/>
    </row>
    <row r="3727" ht="12.75">
      <c r="X3727" s="388"/>
    </row>
    <row r="3728" ht="12.75">
      <c r="X3728" s="388"/>
    </row>
    <row r="3729" ht="12.75">
      <c r="X3729" s="388"/>
    </row>
    <row r="3730" ht="12.75">
      <c r="X3730" s="388"/>
    </row>
    <row r="3731" ht="12.75">
      <c r="X3731" s="388"/>
    </row>
    <row r="3732" ht="12.75">
      <c r="X3732" s="388"/>
    </row>
    <row r="3733" ht="12.75">
      <c r="X3733" s="388"/>
    </row>
    <row r="3734" ht="12.75">
      <c r="X3734" s="388"/>
    </row>
    <row r="3735" ht="12.75">
      <c r="X3735" s="388"/>
    </row>
    <row r="3736" ht="12.75">
      <c r="X3736" s="388"/>
    </row>
    <row r="3737" ht="12.75">
      <c r="X3737" s="388"/>
    </row>
    <row r="3738" ht="12.75">
      <c r="X3738" s="388"/>
    </row>
    <row r="3739" ht="12.75">
      <c r="X3739" s="388"/>
    </row>
    <row r="3740" ht="12.75">
      <c r="X3740" s="388"/>
    </row>
    <row r="3741" ht="12.75">
      <c r="X3741" s="388"/>
    </row>
    <row r="3742" ht="12.75">
      <c r="X3742" s="388"/>
    </row>
    <row r="3743" ht="12.75">
      <c r="X3743" s="388"/>
    </row>
    <row r="3744" ht="12.75">
      <c r="X3744" s="388"/>
    </row>
    <row r="3745" ht="12.75">
      <c r="X3745" s="388"/>
    </row>
    <row r="3746" ht="12.75">
      <c r="X3746" s="388"/>
    </row>
    <row r="3747" ht="12.75">
      <c r="X3747" s="388"/>
    </row>
    <row r="3748" ht="12.75">
      <c r="X3748" s="388"/>
    </row>
    <row r="3749" ht="12.75">
      <c r="X3749" s="388"/>
    </row>
    <row r="3750" ht="12.75">
      <c r="X3750" s="388"/>
    </row>
    <row r="3751" ht="12.75">
      <c r="X3751" s="388"/>
    </row>
    <row r="3752" ht="12.75">
      <c r="X3752" s="388"/>
    </row>
    <row r="3753" ht="12.75">
      <c r="X3753" s="388"/>
    </row>
    <row r="3754" ht="12.75">
      <c r="X3754" s="388"/>
    </row>
    <row r="3755" ht="12.75">
      <c r="X3755" s="388"/>
    </row>
    <row r="3756" ht="12.75">
      <c r="X3756" s="388"/>
    </row>
    <row r="3757" ht="12.75">
      <c r="X3757" s="388"/>
    </row>
    <row r="3758" ht="12.75">
      <c r="X3758" s="388"/>
    </row>
    <row r="3759" ht="12.75">
      <c r="X3759" s="388"/>
    </row>
    <row r="3760" ht="12.75">
      <c r="X3760" s="388"/>
    </row>
    <row r="3761" ht="12.75">
      <c r="X3761" s="388"/>
    </row>
    <row r="3762" ht="12.75">
      <c r="X3762" s="388"/>
    </row>
    <row r="3763" ht="12.75">
      <c r="X3763" s="388"/>
    </row>
    <row r="3764" ht="12.75">
      <c r="X3764" s="388"/>
    </row>
    <row r="3765" ht="12.75">
      <c r="X3765" s="388"/>
    </row>
    <row r="3766" ht="12.75">
      <c r="X3766" s="388"/>
    </row>
    <row r="3767" ht="12.75">
      <c r="X3767" s="388"/>
    </row>
    <row r="3768" ht="12.75">
      <c r="X3768" s="388"/>
    </row>
    <row r="3769" ht="12.75">
      <c r="X3769" s="388"/>
    </row>
    <row r="3770" ht="12.75">
      <c r="X3770" s="388"/>
    </row>
    <row r="3771" ht="12.75">
      <c r="X3771" s="388"/>
    </row>
    <row r="3772" ht="12.75">
      <c r="X3772" s="388"/>
    </row>
    <row r="3773" ht="12.75">
      <c r="X3773" s="388"/>
    </row>
    <row r="3774" ht="12.75">
      <c r="X3774" s="388"/>
    </row>
    <row r="3775" ht="12.75">
      <c r="X3775" s="388"/>
    </row>
    <row r="3776" ht="12.75">
      <c r="X3776" s="388"/>
    </row>
    <row r="3777" ht="12.75">
      <c r="X3777" s="388"/>
    </row>
    <row r="3778" ht="12.75">
      <c r="X3778" s="388"/>
    </row>
    <row r="3779" ht="12.75">
      <c r="X3779" s="388"/>
    </row>
    <row r="3780" ht="12.75">
      <c r="X3780" s="388"/>
    </row>
    <row r="3781" ht="12.75">
      <c r="X3781" s="388"/>
    </row>
    <row r="3782" ht="12.75">
      <c r="X3782" s="388"/>
    </row>
    <row r="3783" ht="12.75">
      <c r="X3783" s="388"/>
    </row>
    <row r="3784" ht="12.75">
      <c r="X3784" s="388"/>
    </row>
    <row r="3785" ht="12.75">
      <c r="X3785" s="388"/>
    </row>
    <row r="3786" ht="12.75">
      <c r="X3786" s="388"/>
    </row>
    <row r="3787" ht="12.75">
      <c r="X3787" s="388"/>
    </row>
    <row r="3788" ht="12.75">
      <c r="X3788" s="388"/>
    </row>
    <row r="3789" ht="12.75">
      <c r="X3789" s="388"/>
    </row>
    <row r="3790" ht="12.75">
      <c r="X3790" s="388"/>
    </row>
    <row r="3791" ht="12.75">
      <c r="X3791" s="388"/>
    </row>
    <row r="3792" ht="12.75">
      <c r="X3792" s="388"/>
    </row>
    <row r="3793" ht="12.75">
      <c r="X3793" s="388"/>
    </row>
    <row r="3794" ht="12.75">
      <c r="X3794" s="388"/>
    </row>
    <row r="3795" ht="12.75">
      <c r="X3795" s="388"/>
    </row>
    <row r="3796" ht="12.75">
      <c r="X3796" s="388"/>
    </row>
    <row r="3797" ht="12.75">
      <c r="X3797" s="388"/>
    </row>
    <row r="3798" ht="12.75">
      <c r="X3798" s="388"/>
    </row>
    <row r="3799" ht="12.75">
      <c r="X3799" s="388"/>
    </row>
    <row r="3800" ht="12.75">
      <c r="X3800" s="388"/>
    </row>
    <row r="3801" ht="12.75">
      <c r="X3801" s="388"/>
    </row>
    <row r="3802" ht="12.75">
      <c r="X3802" s="388"/>
    </row>
    <row r="3803" ht="12.75">
      <c r="X3803" s="388"/>
    </row>
    <row r="3804" ht="12.75">
      <c r="X3804" s="388"/>
    </row>
    <row r="3805" ht="12.75">
      <c r="X3805" s="388"/>
    </row>
    <row r="3806" ht="12.75">
      <c r="X3806" s="388"/>
    </row>
    <row r="3807" ht="12.75">
      <c r="X3807" s="388"/>
    </row>
    <row r="3808" ht="12.75">
      <c r="X3808" s="388"/>
    </row>
    <row r="3809" ht="12.75">
      <c r="X3809" s="388"/>
    </row>
    <row r="3810" ht="12.75">
      <c r="X3810" s="388"/>
    </row>
    <row r="3811" ht="12.75">
      <c r="X3811" s="388"/>
    </row>
    <row r="3812" ht="12.75">
      <c r="X3812" s="388"/>
    </row>
    <row r="3813" ht="12.75">
      <c r="X3813" s="388"/>
    </row>
    <row r="3814" ht="12.75">
      <c r="X3814" s="388"/>
    </row>
    <row r="3815" ht="12.75">
      <c r="X3815" s="388"/>
    </row>
    <row r="3816" ht="12.75">
      <c r="X3816" s="388"/>
    </row>
    <row r="3817" ht="12.75">
      <c r="X3817" s="388"/>
    </row>
    <row r="3818" ht="12.75">
      <c r="X3818" s="388"/>
    </row>
    <row r="3819" ht="12.75">
      <c r="X3819" s="388"/>
    </row>
    <row r="3820" ht="12.75">
      <c r="X3820" s="388"/>
    </row>
    <row r="3821" ht="12.75">
      <c r="X3821" s="388"/>
    </row>
    <row r="3822" ht="12.75">
      <c r="X3822" s="388"/>
    </row>
    <row r="3823" ht="12.75">
      <c r="X3823" s="388"/>
    </row>
    <row r="3824" ht="12.75">
      <c r="X3824" s="388"/>
    </row>
    <row r="3825" ht="12.75">
      <c r="X3825" s="388"/>
    </row>
    <row r="3826" ht="12.75">
      <c r="X3826" s="388"/>
    </row>
    <row r="3827" ht="12.75">
      <c r="X3827" s="388"/>
    </row>
    <row r="3828" ht="12.75">
      <c r="X3828" s="388"/>
    </row>
    <row r="3829" ht="12.75">
      <c r="X3829" s="388"/>
    </row>
    <row r="3830" ht="12.75">
      <c r="X3830" s="388"/>
    </row>
    <row r="3831" ht="12.75">
      <c r="X3831" s="388"/>
    </row>
    <row r="3832" ht="12.75">
      <c r="X3832" s="388"/>
    </row>
    <row r="3833" ht="12.75">
      <c r="X3833" s="388"/>
    </row>
    <row r="3834" ht="12.75">
      <c r="X3834" s="388"/>
    </row>
    <row r="3835" ht="12.75">
      <c r="X3835" s="388"/>
    </row>
    <row r="3836" ht="12.75">
      <c r="X3836" s="388"/>
    </row>
    <row r="3837" ht="12.75">
      <c r="X3837" s="388"/>
    </row>
    <row r="3838" ht="12.75">
      <c r="X3838" s="388"/>
    </row>
    <row r="3839" ht="12.75">
      <c r="X3839" s="388"/>
    </row>
    <row r="3840" ht="12.75">
      <c r="X3840" s="388"/>
    </row>
    <row r="3841" ht="12.75">
      <c r="X3841" s="388"/>
    </row>
    <row r="3842" ht="12.75">
      <c r="X3842" s="388"/>
    </row>
    <row r="3843" ht="12.75">
      <c r="X3843" s="388"/>
    </row>
    <row r="3844" ht="12.75">
      <c r="X3844" s="388"/>
    </row>
    <row r="3845" ht="12.75">
      <c r="X3845" s="388"/>
    </row>
    <row r="3846" ht="12.75">
      <c r="X3846" s="388"/>
    </row>
    <row r="3847" ht="12.75">
      <c r="X3847" s="388"/>
    </row>
    <row r="3848" ht="12.75">
      <c r="X3848" s="388"/>
    </row>
    <row r="3849" ht="12.75">
      <c r="X3849" s="388"/>
    </row>
    <row r="3850" ht="12.75">
      <c r="X3850" s="388"/>
    </row>
    <row r="3851" ht="12.75">
      <c r="X3851" s="388"/>
    </row>
    <row r="3852" ht="12.75">
      <c r="X3852" s="388"/>
    </row>
    <row r="3853" ht="12.75">
      <c r="X3853" s="388"/>
    </row>
    <row r="3854" ht="12.75">
      <c r="X3854" s="388"/>
    </row>
    <row r="3855" ht="12.75">
      <c r="X3855" s="388"/>
    </row>
    <row r="3856" ht="12.75">
      <c r="X3856" s="388"/>
    </row>
    <row r="3857" ht="12.75">
      <c r="X3857" s="388"/>
    </row>
    <row r="3858" ht="12.75">
      <c r="X3858" s="388"/>
    </row>
    <row r="3859" ht="12.75">
      <c r="X3859" s="388"/>
    </row>
    <row r="3860" ht="12.75">
      <c r="X3860" s="388"/>
    </row>
    <row r="3861" ht="12.75">
      <c r="X3861" s="388"/>
    </row>
    <row r="3862" ht="12.75">
      <c r="X3862" s="388"/>
    </row>
    <row r="3863" ht="12.75">
      <c r="X3863" s="388"/>
    </row>
    <row r="3864" ht="12.75">
      <c r="X3864" s="388"/>
    </row>
    <row r="3865" ht="12.75">
      <c r="X3865" s="388"/>
    </row>
    <row r="3866" ht="12.75">
      <c r="X3866" s="388"/>
    </row>
    <row r="3867" ht="12.75">
      <c r="X3867" s="388"/>
    </row>
    <row r="3868" ht="12.75">
      <c r="X3868" s="388"/>
    </row>
    <row r="3869" ht="12.75">
      <c r="X3869" s="388"/>
    </row>
    <row r="3870" ht="12.75">
      <c r="X3870" s="388"/>
    </row>
    <row r="3871" ht="12.75">
      <c r="X3871" s="388"/>
    </row>
    <row r="3872" ht="12.75">
      <c r="X3872" s="388"/>
    </row>
    <row r="3873" ht="12.75">
      <c r="X3873" s="388"/>
    </row>
    <row r="3874" ht="12.75">
      <c r="X3874" s="388"/>
    </row>
    <row r="3875" ht="12.75">
      <c r="X3875" s="388"/>
    </row>
    <row r="3876" ht="12.75">
      <c r="X3876" s="388"/>
    </row>
    <row r="3877" ht="12.75">
      <c r="X3877" s="388"/>
    </row>
    <row r="3878" ht="12.75">
      <c r="X3878" s="388"/>
    </row>
    <row r="3879" ht="12.75">
      <c r="X3879" s="388"/>
    </row>
    <row r="3880" ht="12.75">
      <c r="X3880" s="388"/>
    </row>
    <row r="3881" ht="12.75">
      <c r="X3881" s="388"/>
    </row>
    <row r="3882" ht="12.75">
      <c r="X3882" s="388"/>
    </row>
    <row r="3883" ht="12.75">
      <c r="X3883" s="388"/>
    </row>
    <row r="3884" ht="12.75">
      <c r="X3884" s="388"/>
    </row>
    <row r="3885" ht="12.75">
      <c r="X3885" s="388"/>
    </row>
    <row r="3886" ht="12.75">
      <c r="X3886" s="388"/>
    </row>
    <row r="3887" ht="12.75">
      <c r="X3887" s="388"/>
    </row>
    <row r="3888" ht="12.75">
      <c r="X3888" s="388"/>
    </row>
    <row r="3889" ht="12.75">
      <c r="X3889" s="388"/>
    </row>
    <row r="3890" ht="12.75">
      <c r="X3890" s="388"/>
    </row>
    <row r="3891" ht="12.75">
      <c r="X3891" s="388"/>
    </row>
    <row r="3892" ht="12.75">
      <c r="X3892" s="388"/>
    </row>
    <row r="3893" ht="12.75">
      <c r="X3893" s="388"/>
    </row>
    <row r="3894" ht="12.75">
      <c r="X3894" s="388"/>
    </row>
    <row r="3895" ht="12.75">
      <c r="X3895" s="388"/>
    </row>
    <row r="3896" ht="12.75">
      <c r="X3896" s="388"/>
    </row>
    <row r="3897" ht="12.75">
      <c r="X3897" s="388"/>
    </row>
    <row r="3898" ht="12.75">
      <c r="X3898" s="388"/>
    </row>
    <row r="3899" ht="12.75">
      <c r="X3899" s="388"/>
    </row>
    <row r="3900" ht="12.75">
      <c r="X3900" s="388"/>
    </row>
    <row r="3901" ht="12.75">
      <c r="X3901" s="388"/>
    </row>
    <row r="3902" ht="12.75">
      <c r="X3902" s="388"/>
    </row>
    <row r="3903" ht="12.75">
      <c r="X3903" s="388"/>
    </row>
    <row r="3904" ht="12.75">
      <c r="X3904" s="388"/>
    </row>
    <row r="3905" ht="12.75">
      <c r="X3905" s="388"/>
    </row>
    <row r="3906" ht="12.75">
      <c r="X3906" s="388"/>
    </row>
    <row r="3907" ht="12.75">
      <c r="X3907" s="388"/>
    </row>
    <row r="3908" ht="12.75">
      <c r="X3908" s="388"/>
    </row>
    <row r="3909" ht="12.75">
      <c r="X3909" s="388"/>
    </row>
    <row r="3910" ht="12.75">
      <c r="X3910" s="388"/>
    </row>
    <row r="3911" ht="12.75">
      <c r="X3911" s="388"/>
    </row>
    <row r="3912" ht="12.75">
      <c r="X3912" s="388"/>
    </row>
    <row r="3913" ht="12.75">
      <c r="X3913" s="388"/>
    </row>
    <row r="3914" ht="12.75">
      <c r="X3914" s="388"/>
    </row>
    <row r="3915" ht="12.75">
      <c r="X3915" s="388"/>
    </row>
    <row r="3916" ht="12.75">
      <c r="X3916" s="388"/>
    </row>
    <row r="3917" ht="12.75">
      <c r="X3917" s="388"/>
    </row>
    <row r="3918" ht="12.75">
      <c r="X3918" s="388"/>
    </row>
    <row r="3919" ht="12.75">
      <c r="X3919" s="388"/>
    </row>
    <row r="3920" ht="12.75">
      <c r="X3920" s="388"/>
    </row>
    <row r="3921" ht="12.75">
      <c r="X3921" s="388"/>
    </row>
    <row r="3922" ht="12.75">
      <c r="X3922" s="388"/>
    </row>
    <row r="3923" ht="12.75">
      <c r="X3923" s="388"/>
    </row>
    <row r="3924" ht="12.75">
      <c r="X3924" s="388"/>
    </row>
    <row r="3925" ht="12.75">
      <c r="X3925" s="388"/>
    </row>
    <row r="3926" ht="12.75">
      <c r="X3926" s="388"/>
    </row>
    <row r="3927" ht="12.75">
      <c r="X3927" s="388"/>
    </row>
    <row r="3928" ht="12.75">
      <c r="X3928" s="388"/>
    </row>
    <row r="3929" ht="12.75">
      <c r="X3929" s="388"/>
    </row>
    <row r="3930" ht="12.75">
      <c r="X3930" s="388"/>
    </row>
    <row r="3931" ht="12.75">
      <c r="X3931" s="388"/>
    </row>
    <row r="3932" ht="12.75">
      <c r="X3932" s="388"/>
    </row>
    <row r="3933" ht="12.75">
      <c r="X3933" s="388"/>
    </row>
    <row r="3934" ht="12.75">
      <c r="X3934" s="388"/>
    </row>
    <row r="3935" ht="12.75">
      <c r="X3935" s="388"/>
    </row>
    <row r="3936" ht="12.75">
      <c r="X3936" s="388"/>
    </row>
    <row r="3937" ht="12.75">
      <c r="X3937" s="388"/>
    </row>
    <row r="3938" ht="12.75">
      <c r="X3938" s="388"/>
    </row>
    <row r="3939" ht="12.75">
      <c r="X3939" s="388"/>
    </row>
    <row r="3940" ht="12.75">
      <c r="X3940" s="388"/>
    </row>
    <row r="3941" ht="12.75">
      <c r="X3941" s="388"/>
    </row>
    <row r="3942" ht="12.75">
      <c r="X3942" s="388"/>
    </row>
    <row r="3943" ht="12.75">
      <c r="X3943" s="388"/>
    </row>
    <row r="3944" ht="12.75">
      <c r="X3944" s="388"/>
    </row>
    <row r="3945" ht="12.75">
      <c r="X3945" s="388"/>
    </row>
    <row r="3946" ht="12.75">
      <c r="X3946" s="388"/>
    </row>
    <row r="3947" ht="12.75">
      <c r="X3947" s="388"/>
    </row>
    <row r="3948" ht="12.75">
      <c r="X3948" s="388"/>
    </row>
    <row r="3949" ht="12.75">
      <c r="X3949" s="388"/>
    </row>
    <row r="3950" ht="12.75">
      <c r="X3950" s="388"/>
    </row>
    <row r="3951" ht="12.75">
      <c r="X3951" s="388"/>
    </row>
    <row r="3952" ht="12.75">
      <c r="X3952" s="388"/>
    </row>
    <row r="3953" ht="12.75">
      <c r="X3953" s="388"/>
    </row>
    <row r="3954" ht="12.75">
      <c r="X3954" s="388"/>
    </row>
    <row r="3955" ht="12.75">
      <c r="X3955" s="388"/>
    </row>
    <row r="3956" ht="12.75">
      <c r="X3956" s="388"/>
    </row>
    <row r="3957" ht="12.75">
      <c r="X3957" s="388"/>
    </row>
    <row r="3958" ht="12.75">
      <c r="X3958" s="388"/>
    </row>
    <row r="3959" ht="12.75">
      <c r="X3959" s="388"/>
    </row>
    <row r="3960" ht="12.75">
      <c r="X3960" s="388"/>
    </row>
    <row r="3961" ht="12.75">
      <c r="X3961" s="388"/>
    </row>
    <row r="3962" ht="12.75">
      <c r="X3962" s="388"/>
    </row>
    <row r="3963" ht="12.75">
      <c r="X3963" s="388"/>
    </row>
    <row r="3964" ht="12.75">
      <c r="X3964" s="388"/>
    </row>
    <row r="3965" ht="12.75">
      <c r="X3965" s="388"/>
    </row>
    <row r="3966" ht="12.75">
      <c r="X3966" s="388"/>
    </row>
    <row r="3967" ht="12.75">
      <c r="X3967" s="388"/>
    </row>
    <row r="3968" ht="12.75">
      <c r="X3968" s="388"/>
    </row>
    <row r="3969" ht="12.75">
      <c r="X3969" s="388"/>
    </row>
    <row r="3970" ht="12.75">
      <c r="X3970" s="388"/>
    </row>
    <row r="3971" ht="12.75">
      <c r="X3971" s="388"/>
    </row>
    <row r="3972" ht="12.75">
      <c r="X3972" s="388"/>
    </row>
    <row r="3973" ht="12.75">
      <c r="X3973" s="388"/>
    </row>
    <row r="3974" ht="12.75">
      <c r="X3974" s="388"/>
    </row>
    <row r="3975" ht="12.75">
      <c r="X3975" s="388"/>
    </row>
    <row r="3976" ht="12.75">
      <c r="X3976" s="388"/>
    </row>
    <row r="3977" ht="12.75">
      <c r="X3977" s="388"/>
    </row>
    <row r="3978" ht="12.75">
      <c r="X3978" s="388"/>
    </row>
    <row r="3979" ht="12.75">
      <c r="X3979" s="388"/>
    </row>
    <row r="3980" ht="12.75">
      <c r="X3980" s="388"/>
    </row>
    <row r="3981" ht="12.75">
      <c r="X3981" s="388"/>
    </row>
    <row r="3982" ht="12.75">
      <c r="X3982" s="388"/>
    </row>
    <row r="3983" ht="12.75">
      <c r="X3983" s="388"/>
    </row>
    <row r="3984" ht="12.75">
      <c r="X3984" s="388"/>
    </row>
    <row r="3985" ht="12.75">
      <c r="X3985" s="388"/>
    </row>
    <row r="3986" ht="12.75">
      <c r="X3986" s="388"/>
    </row>
    <row r="3987" ht="12.75">
      <c r="X3987" s="388"/>
    </row>
    <row r="3988" ht="12.75">
      <c r="X3988" s="388"/>
    </row>
    <row r="3989" ht="12.75">
      <c r="X3989" s="388"/>
    </row>
    <row r="3990" ht="12.75">
      <c r="X3990" s="388"/>
    </row>
    <row r="3991" ht="12.75">
      <c r="X3991" s="388"/>
    </row>
    <row r="3992" ht="12.75">
      <c r="X3992" s="388"/>
    </row>
    <row r="3993" ht="12.75">
      <c r="X3993" s="388"/>
    </row>
    <row r="3994" ht="12.75">
      <c r="X3994" s="388"/>
    </row>
    <row r="3995" ht="12.75">
      <c r="X3995" s="388"/>
    </row>
    <row r="3996" ht="12.75">
      <c r="X3996" s="388"/>
    </row>
    <row r="3997" ht="12.75">
      <c r="X3997" s="388"/>
    </row>
    <row r="3998" ht="12.75">
      <c r="X3998" s="388"/>
    </row>
    <row r="3999" ht="12.75">
      <c r="X3999" s="388"/>
    </row>
    <row r="4000" ht="12.75">
      <c r="X4000" s="388"/>
    </row>
    <row r="4001" ht="12.75">
      <c r="X4001" s="388"/>
    </row>
    <row r="4002" ht="12.75">
      <c r="X4002" s="388"/>
    </row>
    <row r="4003" ht="12.75">
      <c r="X4003" s="388"/>
    </row>
    <row r="4004" ht="12.75">
      <c r="X4004" s="388"/>
    </row>
    <row r="4005" ht="12.75">
      <c r="X4005" s="388"/>
    </row>
    <row r="4006" ht="12.75">
      <c r="X4006" s="388"/>
    </row>
    <row r="4007" ht="12.75">
      <c r="X4007" s="388"/>
    </row>
    <row r="4008" ht="12.75">
      <c r="X4008" s="388"/>
    </row>
    <row r="4009" ht="12.75">
      <c r="X4009" s="388"/>
    </row>
    <row r="4010" ht="12.75">
      <c r="X4010" s="388"/>
    </row>
    <row r="4011" ht="12.75">
      <c r="X4011" s="388"/>
    </row>
    <row r="4012" ht="12.75">
      <c r="X4012" s="388"/>
    </row>
    <row r="4013" ht="12.75">
      <c r="X4013" s="388"/>
    </row>
    <row r="4014" ht="12.75">
      <c r="X4014" s="388"/>
    </row>
    <row r="4015" ht="12.75">
      <c r="X4015" s="388"/>
    </row>
    <row r="4016" ht="12.75">
      <c r="X4016" s="388"/>
    </row>
    <row r="4017" ht="12.75">
      <c r="X4017" s="388"/>
    </row>
    <row r="4018" ht="12.75">
      <c r="X4018" s="388"/>
    </row>
    <row r="4019" ht="12.75">
      <c r="X4019" s="388"/>
    </row>
    <row r="4020" ht="12.75">
      <c r="X4020" s="388"/>
    </row>
    <row r="4021" ht="12.75">
      <c r="X4021" s="388"/>
    </row>
    <row r="4022" ht="12.75">
      <c r="X4022" s="388"/>
    </row>
    <row r="4023" ht="12.75">
      <c r="X4023" s="388"/>
    </row>
    <row r="4024" ht="12.75">
      <c r="X4024" s="388"/>
    </row>
    <row r="4025" ht="12.75">
      <c r="X4025" s="388"/>
    </row>
    <row r="4026" ht="12.75">
      <c r="X4026" s="388"/>
    </row>
    <row r="4027" ht="12.75">
      <c r="X4027" s="388"/>
    </row>
    <row r="4028" ht="12.75">
      <c r="X4028" s="388"/>
    </row>
    <row r="4029" ht="12.75">
      <c r="X4029" s="388"/>
    </row>
    <row r="4030" ht="12.75">
      <c r="X4030" s="388"/>
    </row>
    <row r="4031" ht="12.75">
      <c r="X4031" s="388"/>
    </row>
    <row r="4032" ht="12.75">
      <c r="X4032" s="388"/>
    </row>
    <row r="4033" ht="12.75">
      <c r="X4033" s="388"/>
    </row>
    <row r="4034" ht="12.75">
      <c r="X4034" s="388"/>
    </row>
    <row r="4035" ht="12.75">
      <c r="X4035" s="388"/>
    </row>
    <row r="4036" ht="12.75">
      <c r="X4036" s="388"/>
    </row>
    <row r="4037" ht="12.75">
      <c r="X4037" s="388"/>
    </row>
    <row r="4038" ht="12.75">
      <c r="X4038" s="388"/>
    </row>
    <row r="4039" ht="12.75">
      <c r="X4039" s="388"/>
    </row>
    <row r="4040" ht="12.75">
      <c r="X4040" s="388"/>
    </row>
    <row r="4041" ht="12.75">
      <c r="X4041" s="388"/>
    </row>
    <row r="4042" ht="12.75">
      <c r="X4042" s="388"/>
    </row>
    <row r="4043" ht="12.75">
      <c r="X4043" s="388"/>
    </row>
    <row r="4044" ht="12.75">
      <c r="X4044" s="388"/>
    </row>
    <row r="4045" ht="12.75">
      <c r="X4045" s="388"/>
    </row>
    <row r="4046" ht="12.75">
      <c r="X4046" s="388"/>
    </row>
    <row r="4047" ht="12.75">
      <c r="X4047" s="388"/>
    </row>
    <row r="4048" ht="12.75">
      <c r="X4048" s="388"/>
    </row>
    <row r="4049" ht="12.75">
      <c r="X4049" s="388"/>
    </row>
    <row r="4050" ht="12.75">
      <c r="X4050" s="388"/>
    </row>
    <row r="4051" ht="12.75">
      <c r="X4051" s="388"/>
    </row>
    <row r="4052" ht="12.75">
      <c r="X4052" s="388"/>
    </row>
    <row r="4053" ht="12.75">
      <c r="X4053" s="388"/>
    </row>
    <row r="4054" ht="12.75">
      <c r="X4054" s="388"/>
    </row>
    <row r="4055" ht="12.75">
      <c r="X4055" s="388"/>
    </row>
    <row r="4056" ht="12.75">
      <c r="X4056" s="388"/>
    </row>
    <row r="4057" ht="12.75">
      <c r="X4057" s="388"/>
    </row>
    <row r="4058" ht="12.75">
      <c r="X4058" s="388"/>
    </row>
    <row r="4059" ht="12.75">
      <c r="X4059" s="388"/>
    </row>
    <row r="4060" ht="12.75">
      <c r="X4060" s="388"/>
    </row>
    <row r="4061" ht="12.75">
      <c r="X4061" s="388"/>
    </row>
    <row r="4062" ht="12.75">
      <c r="X4062" s="388"/>
    </row>
    <row r="4063" ht="12.75">
      <c r="X4063" s="388"/>
    </row>
    <row r="4064" ht="12.75">
      <c r="X4064" s="388"/>
    </row>
    <row r="4065" ht="12.75">
      <c r="X4065" s="388"/>
    </row>
    <row r="4066" ht="12.75">
      <c r="X4066" s="388"/>
    </row>
    <row r="4067" ht="12.75">
      <c r="X4067" s="388"/>
    </row>
    <row r="4068" ht="12.75">
      <c r="X4068" s="388"/>
    </row>
    <row r="4069" ht="12.75">
      <c r="X4069" s="388"/>
    </row>
    <row r="4070" ht="12.75">
      <c r="X4070" s="388"/>
    </row>
    <row r="4071" ht="12.75">
      <c r="X4071" s="388"/>
    </row>
    <row r="4072" ht="12.75">
      <c r="X4072" s="388"/>
    </row>
    <row r="4073" ht="12.75">
      <c r="X4073" s="388"/>
    </row>
    <row r="4074" ht="12.75">
      <c r="X4074" s="388"/>
    </row>
    <row r="4075" ht="12.75">
      <c r="X4075" s="388"/>
    </row>
    <row r="4076" ht="12.75">
      <c r="X4076" s="388"/>
    </row>
    <row r="4077" ht="12.75">
      <c r="X4077" s="388"/>
    </row>
    <row r="4078" ht="12.75">
      <c r="X4078" s="388"/>
    </row>
    <row r="4079" ht="12.75">
      <c r="X4079" s="388"/>
    </row>
    <row r="4080" ht="12.75">
      <c r="X4080" s="388"/>
    </row>
    <row r="4081" ht="12.75">
      <c r="X4081" s="388"/>
    </row>
    <row r="4082" ht="12.75">
      <c r="X4082" s="388"/>
    </row>
    <row r="4083" ht="12.75">
      <c r="X4083" s="388"/>
    </row>
    <row r="4084" ht="12.75">
      <c r="X4084" s="388"/>
    </row>
    <row r="4085" ht="12.75">
      <c r="X4085" s="388"/>
    </row>
    <row r="4086" ht="12.75">
      <c r="X4086" s="388"/>
    </row>
    <row r="4087" ht="12.75">
      <c r="X4087" s="388"/>
    </row>
    <row r="4088" ht="12.75">
      <c r="X4088" s="388"/>
    </row>
    <row r="4089" ht="12.75">
      <c r="X4089" s="388"/>
    </row>
    <row r="4090" ht="12.75">
      <c r="X4090" s="388"/>
    </row>
    <row r="4091" ht="12.75">
      <c r="X4091" s="388"/>
    </row>
    <row r="4092" ht="12.75">
      <c r="X4092" s="388"/>
    </row>
    <row r="4093" ht="12.75">
      <c r="X4093" s="388"/>
    </row>
    <row r="4094" ht="12.75">
      <c r="X4094" s="388"/>
    </row>
    <row r="4095" ht="12.75">
      <c r="X4095" s="388"/>
    </row>
    <row r="4096" ht="12.75">
      <c r="X4096" s="388"/>
    </row>
    <row r="4097" ht="12.75">
      <c r="X4097" s="388"/>
    </row>
    <row r="4098" ht="12.75">
      <c r="X4098" s="388"/>
    </row>
    <row r="4099" ht="12.75">
      <c r="X4099" s="388"/>
    </row>
    <row r="4100" ht="12.75">
      <c r="X4100" s="388"/>
    </row>
    <row r="4101" ht="12.75">
      <c r="X4101" s="388"/>
    </row>
    <row r="4102" ht="12.75">
      <c r="X4102" s="388"/>
    </row>
    <row r="4103" ht="12.75">
      <c r="X4103" s="388"/>
    </row>
    <row r="4104" ht="12.75">
      <c r="X4104" s="388"/>
    </row>
    <row r="4105" ht="12.75">
      <c r="X4105" s="388"/>
    </row>
    <row r="4106" ht="12.75">
      <c r="X4106" s="388"/>
    </row>
    <row r="4107" ht="12.75">
      <c r="X4107" s="388"/>
    </row>
    <row r="4108" ht="12.75">
      <c r="X4108" s="388"/>
    </row>
    <row r="4109" ht="12.75">
      <c r="X4109" s="388"/>
    </row>
    <row r="4110" ht="12.75">
      <c r="X4110" s="388"/>
    </row>
    <row r="4111" ht="12.75">
      <c r="X4111" s="388"/>
    </row>
    <row r="4112" ht="12.75">
      <c r="X4112" s="388"/>
    </row>
    <row r="4113" ht="12.75">
      <c r="X4113" s="388"/>
    </row>
    <row r="4114" ht="12.75">
      <c r="X4114" s="388"/>
    </row>
    <row r="4115" ht="12.75">
      <c r="X4115" s="388"/>
    </row>
    <row r="4116" ht="12.75">
      <c r="X4116" s="388"/>
    </row>
    <row r="4117" ht="12.75">
      <c r="X4117" s="388"/>
    </row>
    <row r="4118" ht="12.75">
      <c r="X4118" s="388"/>
    </row>
    <row r="4119" ht="12.75">
      <c r="X4119" s="388"/>
    </row>
    <row r="4120" ht="12.75">
      <c r="X4120" s="388"/>
    </row>
    <row r="4121" ht="12.75">
      <c r="X4121" s="388"/>
    </row>
    <row r="4122" ht="12.75">
      <c r="X4122" s="388"/>
    </row>
    <row r="4123" ht="12.75">
      <c r="X4123" s="388"/>
    </row>
    <row r="4124" ht="12.75">
      <c r="X4124" s="388"/>
    </row>
    <row r="4125" ht="12.75">
      <c r="X4125" s="388"/>
    </row>
    <row r="4126" ht="12.75">
      <c r="X4126" s="388"/>
    </row>
    <row r="4127" ht="12.75">
      <c r="X4127" s="388"/>
    </row>
    <row r="4128" ht="12.75">
      <c r="X4128" s="388"/>
    </row>
    <row r="4129" ht="12.75">
      <c r="X4129" s="388"/>
    </row>
    <row r="4130" ht="12.75">
      <c r="X4130" s="388"/>
    </row>
    <row r="4131" ht="12.75">
      <c r="X4131" s="388"/>
    </row>
    <row r="4132" ht="12.75">
      <c r="X4132" s="388"/>
    </row>
    <row r="4133" ht="12.75">
      <c r="X4133" s="388"/>
    </row>
    <row r="4134" ht="12.75">
      <c r="X4134" s="388"/>
    </row>
    <row r="4135" ht="12.75">
      <c r="X4135" s="388"/>
    </row>
    <row r="4136" ht="12.75">
      <c r="X4136" s="388"/>
    </row>
    <row r="4137" ht="12.75">
      <c r="X4137" s="388"/>
    </row>
    <row r="4138" ht="12.75">
      <c r="X4138" s="388"/>
    </row>
    <row r="4139" ht="12.75">
      <c r="X4139" s="388"/>
    </row>
    <row r="4140" ht="12.75">
      <c r="X4140" s="388"/>
    </row>
    <row r="4141" ht="12.75">
      <c r="X4141" s="388"/>
    </row>
    <row r="4142" ht="12.75">
      <c r="X4142" s="388"/>
    </row>
    <row r="4143" ht="12.75">
      <c r="X4143" s="388"/>
    </row>
    <row r="4144" ht="12.75">
      <c r="X4144" s="388"/>
    </row>
    <row r="4145" ht="12.75">
      <c r="X4145" s="388"/>
    </row>
    <row r="4146" ht="12.75">
      <c r="X4146" s="388"/>
    </row>
    <row r="4147" ht="12.75">
      <c r="X4147" s="388"/>
    </row>
    <row r="4148" ht="12.75">
      <c r="X4148" s="388"/>
    </row>
    <row r="4149" ht="12.75">
      <c r="X4149" s="388"/>
    </row>
    <row r="4150" ht="12.75">
      <c r="X4150" s="388"/>
    </row>
    <row r="4151" ht="12.75">
      <c r="X4151" s="388"/>
    </row>
    <row r="4152" ht="12.75">
      <c r="X4152" s="388"/>
    </row>
    <row r="4153" ht="12.75">
      <c r="X4153" s="388"/>
    </row>
    <row r="4154" ht="12.75">
      <c r="X4154" s="388"/>
    </row>
    <row r="4155" ht="12.75">
      <c r="X4155" s="388"/>
    </row>
    <row r="4156" ht="12.75">
      <c r="X4156" s="388"/>
    </row>
    <row r="4157" ht="12.75">
      <c r="X4157" s="388"/>
    </row>
    <row r="4158" ht="12.75">
      <c r="X4158" s="388"/>
    </row>
    <row r="4159" ht="12.75">
      <c r="X4159" s="388"/>
    </row>
    <row r="4160" ht="12.75">
      <c r="X4160" s="388"/>
    </row>
    <row r="4161" ht="12.75">
      <c r="X4161" s="388"/>
    </row>
    <row r="4162" ht="12.75">
      <c r="X4162" s="388"/>
    </row>
    <row r="4163" ht="12.75">
      <c r="X4163" s="388"/>
    </row>
    <row r="4164" ht="12.75">
      <c r="X4164" s="388"/>
    </row>
    <row r="4165" ht="12.75">
      <c r="X4165" s="388"/>
    </row>
    <row r="4166" ht="12.75">
      <c r="X4166" s="388"/>
    </row>
    <row r="4167" ht="12.75">
      <c r="X4167" s="388"/>
    </row>
    <row r="4168" ht="12.75">
      <c r="X4168" s="388"/>
    </row>
    <row r="4169" ht="12.75">
      <c r="X4169" s="388"/>
    </row>
    <row r="4170" ht="12.75">
      <c r="X4170" s="388"/>
    </row>
    <row r="4171" ht="12.75">
      <c r="X4171" s="388"/>
    </row>
    <row r="4172" ht="12.75">
      <c r="X4172" s="388"/>
    </row>
    <row r="4173" ht="12.75">
      <c r="X4173" s="388"/>
    </row>
    <row r="4174" ht="12.75">
      <c r="X4174" s="388"/>
    </row>
    <row r="4175" ht="12.75">
      <c r="X4175" s="388"/>
    </row>
    <row r="4176" ht="12.75">
      <c r="X4176" s="388"/>
    </row>
    <row r="4177" ht="12.75">
      <c r="X4177" s="388"/>
    </row>
    <row r="4178" ht="12.75">
      <c r="X4178" s="388"/>
    </row>
    <row r="4179" ht="12.75">
      <c r="X4179" s="388"/>
    </row>
    <row r="4180" ht="12.75">
      <c r="X4180" s="388"/>
    </row>
    <row r="4181" ht="12.75">
      <c r="X4181" s="388"/>
    </row>
    <row r="4182" ht="12.75">
      <c r="X4182" s="388"/>
    </row>
    <row r="4183" ht="12.75">
      <c r="X4183" s="388"/>
    </row>
    <row r="4184" ht="12.75">
      <c r="X4184" s="388"/>
    </row>
    <row r="4185" ht="12.75">
      <c r="X4185" s="388"/>
    </row>
    <row r="4186" ht="12.75">
      <c r="X4186" s="388"/>
    </row>
    <row r="4187" ht="12.75">
      <c r="X4187" s="388"/>
    </row>
    <row r="4188" ht="12.75">
      <c r="X4188" s="388"/>
    </row>
    <row r="4189" ht="12.75">
      <c r="X4189" s="388"/>
    </row>
    <row r="4190" ht="12.75">
      <c r="X4190" s="388"/>
    </row>
    <row r="4191" ht="12.75">
      <c r="X4191" s="388"/>
    </row>
    <row r="4192" ht="12.75">
      <c r="X4192" s="388"/>
    </row>
    <row r="4193" ht="12.75">
      <c r="X4193" s="388"/>
    </row>
    <row r="4194" ht="12.75">
      <c r="X4194" s="388"/>
    </row>
    <row r="4195" ht="12.75">
      <c r="X4195" s="388"/>
    </row>
    <row r="4196" ht="12.75">
      <c r="X4196" s="388"/>
    </row>
    <row r="4197" ht="12.75">
      <c r="X4197" s="388"/>
    </row>
    <row r="4198" ht="12.75">
      <c r="X4198" s="388"/>
    </row>
    <row r="4199" ht="12.75">
      <c r="X4199" s="388"/>
    </row>
    <row r="4200" ht="12.75">
      <c r="X4200" s="388"/>
    </row>
    <row r="4201" ht="12.75">
      <c r="X4201" s="388"/>
    </row>
    <row r="4202" ht="12.75">
      <c r="X4202" s="388"/>
    </row>
    <row r="4203" ht="12.75">
      <c r="X4203" s="388"/>
    </row>
    <row r="4204" ht="12.75">
      <c r="X4204" s="388"/>
    </row>
    <row r="4205" ht="12.75">
      <c r="X4205" s="388"/>
    </row>
    <row r="4206" ht="12.75">
      <c r="X4206" s="388"/>
    </row>
    <row r="4207" ht="12.75">
      <c r="X4207" s="388"/>
    </row>
    <row r="4208" ht="12.75">
      <c r="X4208" s="388"/>
    </row>
    <row r="4209" ht="12.75">
      <c r="X4209" s="388"/>
    </row>
    <row r="4210" ht="12.75">
      <c r="X4210" s="388"/>
    </row>
    <row r="4211" ht="12.75">
      <c r="X4211" s="388"/>
    </row>
    <row r="4212" ht="12.75">
      <c r="X4212" s="388"/>
    </row>
    <row r="4213" ht="12.75">
      <c r="X4213" s="388"/>
    </row>
    <row r="4214" ht="12.75">
      <c r="X4214" s="388"/>
    </row>
    <row r="4215" ht="12.75">
      <c r="X4215" s="388"/>
    </row>
    <row r="4216" ht="12.75">
      <c r="X4216" s="388"/>
    </row>
    <row r="4217" ht="12.75">
      <c r="X4217" s="388"/>
    </row>
    <row r="4218" ht="12.75">
      <c r="X4218" s="388"/>
    </row>
    <row r="4219" ht="12.75">
      <c r="X4219" s="388"/>
    </row>
    <row r="4220" ht="12.75">
      <c r="X4220" s="388"/>
    </row>
    <row r="4221" ht="12.75">
      <c r="X4221" s="388"/>
    </row>
    <row r="4222" ht="12.75">
      <c r="X4222" s="388"/>
    </row>
    <row r="4223" ht="12.75">
      <c r="X4223" s="388"/>
    </row>
    <row r="4224" ht="12.75">
      <c r="X4224" s="388"/>
    </row>
    <row r="4225" ht="12.75">
      <c r="X4225" s="388"/>
    </row>
    <row r="4226" ht="12.75">
      <c r="X4226" s="388"/>
    </row>
    <row r="4227" ht="12.75">
      <c r="X4227" s="388"/>
    </row>
    <row r="4228" ht="12.75">
      <c r="X4228" s="388"/>
    </row>
    <row r="4229" ht="12.75">
      <c r="X4229" s="388"/>
    </row>
    <row r="4230" ht="12.75">
      <c r="X4230" s="388"/>
    </row>
    <row r="4231" ht="12.75">
      <c r="X4231" s="388"/>
    </row>
    <row r="4232" ht="12.75">
      <c r="X4232" s="388"/>
    </row>
    <row r="4233" ht="12.75">
      <c r="X4233" s="388"/>
    </row>
    <row r="4234" ht="12.75">
      <c r="X4234" s="388"/>
    </row>
    <row r="4235" ht="12.75">
      <c r="X4235" s="388"/>
    </row>
    <row r="4236" ht="12.75">
      <c r="X4236" s="388"/>
    </row>
    <row r="4237" ht="12.75">
      <c r="X4237" s="388"/>
    </row>
    <row r="4238" ht="12.75">
      <c r="X4238" s="388"/>
    </row>
    <row r="4239" ht="12.75">
      <c r="X4239" s="388"/>
    </row>
    <row r="4240" ht="12.75">
      <c r="X4240" s="388"/>
    </row>
    <row r="4241" ht="12.75">
      <c r="X4241" s="388"/>
    </row>
    <row r="4242" ht="12.75">
      <c r="X4242" s="388"/>
    </row>
    <row r="4243" ht="12.75">
      <c r="X4243" s="388"/>
    </row>
    <row r="4244" ht="12.75">
      <c r="X4244" s="388"/>
    </row>
    <row r="4245" ht="12.75">
      <c r="X4245" s="388"/>
    </row>
    <row r="4246" ht="12.75">
      <c r="X4246" s="388"/>
    </row>
    <row r="4247" ht="12.75">
      <c r="X4247" s="388"/>
    </row>
    <row r="4248" ht="12.75">
      <c r="X4248" s="388"/>
    </row>
    <row r="4249" ht="12.75">
      <c r="X4249" s="388"/>
    </row>
    <row r="4250" ht="12.75">
      <c r="X4250" s="388"/>
    </row>
    <row r="4251" ht="12.75">
      <c r="X4251" s="388"/>
    </row>
    <row r="4252" ht="12.75">
      <c r="X4252" s="388"/>
    </row>
    <row r="4253" ht="12.75">
      <c r="X4253" s="388"/>
    </row>
    <row r="4254" ht="12.75">
      <c r="X4254" s="388"/>
    </row>
    <row r="4255" ht="12.75">
      <c r="X4255" s="388"/>
    </row>
    <row r="4256" ht="12.75">
      <c r="X4256" s="388"/>
    </row>
    <row r="4257" ht="12.75">
      <c r="X4257" s="388"/>
    </row>
    <row r="4258" ht="12.75">
      <c r="X4258" s="388"/>
    </row>
    <row r="4259" ht="12.75">
      <c r="X4259" s="388"/>
    </row>
    <row r="4260" ht="12.75">
      <c r="X4260" s="388"/>
    </row>
    <row r="4261" ht="12.75">
      <c r="X4261" s="388"/>
    </row>
    <row r="4262" ht="12.75">
      <c r="X4262" s="388"/>
    </row>
    <row r="4263" ht="12.75">
      <c r="X4263" s="388"/>
    </row>
    <row r="4264" ht="12.75">
      <c r="X4264" s="388"/>
    </row>
    <row r="4265" ht="12.75">
      <c r="X4265" s="388"/>
    </row>
    <row r="4266" ht="12.75">
      <c r="X4266" s="388"/>
    </row>
    <row r="4267" ht="12.75">
      <c r="X4267" s="388"/>
    </row>
    <row r="4268" ht="12.75">
      <c r="X4268" s="388"/>
    </row>
    <row r="4269" ht="12.75">
      <c r="X4269" s="388"/>
    </row>
    <row r="4270" ht="12.75">
      <c r="X4270" s="388"/>
    </row>
    <row r="4271" ht="12.75">
      <c r="X4271" s="388"/>
    </row>
    <row r="4272" ht="12.75">
      <c r="X4272" s="388"/>
    </row>
    <row r="4273" ht="12.75">
      <c r="X4273" s="388"/>
    </row>
    <row r="4274" ht="12.75">
      <c r="X4274" s="388"/>
    </row>
    <row r="4275" ht="12.75">
      <c r="X4275" s="388"/>
    </row>
    <row r="4276" ht="12.75">
      <c r="X4276" s="388"/>
    </row>
    <row r="4277" ht="12.75">
      <c r="X4277" s="388"/>
    </row>
    <row r="4278" ht="12.75">
      <c r="X4278" s="388"/>
    </row>
    <row r="4279" ht="12.75">
      <c r="X4279" s="388"/>
    </row>
    <row r="4280" ht="12.75">
      <c r="X4280" s="388"/>
    </row>
    <row r="4281" ht="12.75">
      <c r="X4281" s="388"/>
    </row>
    <row r="4282" ht="12.75">
      <c r="X4282" s="388"/>
    </row>
    <row r="4283" ht="12.75">
      <c r="X4283" s="388"/>
    </row>
    <row r="4284" ht="12.75">
      <c r="X4284" s="388"/>
    </row>
    <row r="4285" ht="12.75">
      <c r="X4285" s="388"/>
    </row>
    <row r="4286" ht="12.75">
      <c r="X4286" s="388"/>
    </row>
    <row r="4287" ht="12.75">
      <c r="X4287" s="388"/>
    </row>
    <row r="4288" ht="12.75">
      <c r="X4288" s="388"/>
    </row>
    <row r="4289" ht="12.75">
      <c r="X4289" s="388"/>
    </row>
    <row r="4290" ht="12.75">
      <c r="X4290" s="388"/>
    </row>
    <row r="4291" ht="12.75">
      <c r="X4291" s="388"/>
    </row>
    <row r="4292" ht="12.75">
      <c r="X4292" s="388"/>
    </row>
    <row r="4293" ht="12.75">
      <c r="X4293" s="388"/>
    </row>
    <row r="4294" ht="12.75">
      <c r="X4294" s="388"/>
    </row>
    <row r="4295" ht="12.75">
      <c r="X4295" s="388"/>
    </row>
    <row r="4296" ht="12.75">
      <c r="X4296" s="388"/>
    </row>
    <row r="4297" ht="12.75">
      <c r="X4297" s="388"/>
    </row>
    <row r="4298" ht="12.75">
      <c r="X4298" s="388"/>
    </row>
    <row r="4299" ht="12.75">
      <c r="X4299" s="388"/>
    </row>
    <row r="4300" ht="12.75">
      <c r="X4300" s="388"/>
    </row>
    <row r="4301" ht="12.75">
      <c r="X4301" s="388"/>
    </row>
    <row r="4302" ht="12.75">
      <c r="X4302" s="388"/>
    </row>
    <row r="4303" ht="12.75">
      <c r="X4303" s="388"/>
    </row>
    <row r="4304" ht="12.75">
      <c r="X4304" s="388"/>
    </row>
    <row r="4305" ht="12.75">
      <c r="X4305" s="388"/>
    </row>
    <row r="4306" ht="12.75">
      <c r="X4306" s="388"/>
    </row>
    <row r="4307" ht="12.75">
      <c r="X4307" s="388"/>
    </row>
    <row r="4308" ht="12.75">
      <c r="X4308" s="388"/>
    </row>
    <row r="4309" ht="12.75">
      <c r="X4309" s="388"/>
    </row>
    <row r="4310" ht="12.75">
      <c r="X4310" s="388"/>
    </row>
    <row r="4311" ht="12.75">
      <c r="X4311" s="388"/>
    </row>
    <row r="4312" ht="12.75">
      <c r="X4312" s="388"/>
    </row>
    <row r="4313" ht="12.75">
      <c r="X4313" s="388"/>
    </row>
    <row r="4314" ht="12.75">
      <c r="X4314" s="388"/>
    </row>
    <row r="4315" ht="12.75">
      <c r="X4315" s="388"/>
    </row>
    <row r="4316" ht="12.75">
      <c r="X4316" s="388"/>
    </row>
    <row r="4317" ht="12.75">
      <c r="X4317" s="388"/>
    </row>
    <row r="4318" ht="12.75">
      <c r="X4318" s="388"/>
    </row>
    <row r="4319" ht="12.75">
      <c r="X4319" s="388"/>
    </row>
    <row r="4320" ht="12.75">
      <c r="X4320" s="388"/>
    </row>
    <row r="4321" ht="12.75">
      <c r="X4321" s="388"/>
    </row>
    <row r="4322" ht="12.75">
      <c r="X4322" s="388"/>
    </row>
    <row r="4323" ht="12.75">
      <c r="X4323" s="388"/>
    </row>
    <row r="4324" ht="12.75">
      <c r="X4324" s="388"/>
    </row>
    <row r="4325" ht="12.75">
      <c r="X4325" s="388"/>
    </row>
    <row r="4326" ht="12.75">
      <c r="X4326" s="388"/>
    </row>
    <row r="4327" ht="12.75">
      <c r="X4327" s="388"/>
    </row>
    <row r="4328" ht="12.75">
      <c r="X4328" s="388"/>
    </row>
    <row r="4329" ht="12.75">
      <c r="X4329" s="388"/>
    </row>
    <row r="4330" ht="12.75">
      <c r="X4330" s="388"/>
    </row>
    <row r="4331" ht="12.75">
      <c r="X4331" s="388"/>
    </row>
    <row r="4332" ht="12.75">
      <c r="X4332" s="388"/>
    </row>
    <row r="4333" ht="12.75">
      <c r="X4333" s="388"/>
    </row>
    <row r="4334" ht="12.75">
      <c r="X4334" s="388"/>
    </row>
    <row r="4335" ht="12.75">
      <c r="X4335" s="388"/>
    </row>
    <row r="4336" ht="12.75">
      <c r="X4336" s="388"/>
    </row>
    <row r="4337" ht="12.75">
      <c r="X4337" s="388"/>
    </row>
    <row r="4338" ht="12.75">
      <c r="X4338" s="388"/>
    </row>
    <row r="4339" ht="12.75">
      <c r="X4339" s="388"/>
    </row>
    <row r="4340" ht="12.75">
      <c r="X4340" s="388"/>
    </row>
    <row r="4341" ht="12.75">
      <c r="X4341" s="388"/>
    </row>
    <row r="4342" ht="12.75">
      <c r="X4342" s="388"/>
    </row>
    <row r="4343" ht="12.75">
      <c r="X4343" s="388"/>
    </row>
    <row r="4344" ht="12.75">
      <c r="X4344" s="388"/>
    </row>
    <row r="4345" ht="12.75">
      <c r="X4345" s="388"/>
    </row>
    <row r="4346" ht="12.75">
      <c r="X4346" s="388"/>
    </row>
    <row r="4347" ht="12.75">
      <c r="X4347" s="388"/>
    </row>
    <row r="4348" ht="12.75">
      <c r="X4348" s="388"/>
    </row>
    <row r="4349" ht="12.75">
      <c r="X4349" s="388"/>
    </row>
    <row r="4350" ht="12.75">
      <c r="X4350" s="388"/>
    </row>
    <row r="4351" ht="12.75">
      <c r="X4351" s="388"/>
    </row>
    <row r="4352" ht="12.75">
      <c r="X4352" s="388"/>
    </row>
    <row r="4353" ht="12.75">
      <c r="X4353" s="388"/>
    </row>
    <row r="4354" ht="12.75">
      <c r="X4354" s="388"/>
    </row>
    <row r="4355" ht="12.75">
      <c r="X4355" s="388"/>
    </row>
    <row r="4356" ht="12.75">
      <c r="X4356" s="388"/>
    </row>
    <row r="4357" ht="12.75">
      <c r="X4357" s="388"/>
    </row>
    <row r="4358" ht="12.75">
      <c r="X4358" s="388"/>
    </row>
    <row r="4359" ht="12.75">
      <c r="X4359" s="388"/>
    </row>
    <row r="4360" ht="12.75">
      <c r="X4360" s="388"/>
    </row>
    <row r="4361" ht="12.75">
      <c r="X4361" s="388"/>
    </row>
    <row r="4362" ht="12.75">
      <c r="X4362" s="388"/>
    </row>
    <row r="4363" ht="12.75">
      <c r="X4363" s="388"/>
    </row>
    <row r="4364" ht="12.75">
      <c r="X4364" s="388"/>
    </row>
    <row r="4365" ht="12.75">
      <c r="X4365" s="388"/>
    </row>
    <row r="4366" ht="12.75">
      <c r="X4366" s="388"/>
    </row>
    <row r="4367" ht="12.75">
      <c r="X4367" s="388"/>
    </row>
    <row r="4368" ht="12.75">
      <c r="X4368" s="388"/>
    </row>
    <row r="4369" ht="12.75">
      <c r="X4369" s="388"/>
    </row>
    <row r="4370" ht="12.75">
      <c r="X4370" s="388"/>
    </row>
    <row r="4371" ht="12.75">
      <c r="X4371" s="388"/>
    </row>
    <row r="4372" ht="12.75">
      <c r="X4372" s="388"/>
    </row>
    <row r="4373" ht="12.75">
      <c r="X4373" s="388"/>
    </row>
    <row r="4374" ht="12.75">
      <c r="X4374" s="388"/>
    </row>
    <row r="4375" ht="12.75">
      <c r="X4375" s="388"/>
    </row>
    <row r="4376" ht="12.75">
      <c r="X4376" s="388"/>
    </row>
    <row r="4377" ht="12.75">
      <c r="X4377" s="388"/>
    </row>
    <row r="4378" ht="12.75">
      <c r="X4378" s="388"/>
    </row>
    <row r="4379" ht="12.75">
      <c r="X4379" s="388"/>
    </row>
    <row r="4380" ht="12.75">
      <c r="X4380" s="388"/>
    </row>
    <row r="4381" ht="12.75">
      <c r="X4381" s="388"/>
    </row>
    <row r="4382" ht="12.75">
      <c r="X4382" s="388"/>
    </row>
    <row r="4383" ht="12.75">
      <c r="X4383" s="388"/>
    </row>
    <row r="4384" ht="12.75">
      <c r="X4384" s="388"/>
    </row>
    <row r="4385" ht="12.75">
      <c r="X4385" s="388"/>
    </row>
    <row r="4386" ht="12.75">
      <c r="X4386" s="388"/>
    </row>
    <row r="4387" ht="12.75">
      <c r="X4387" s="388"/>
    </row>
    <row r="4388" ht="12.75">
      <c r="X4388" s="388"/>
    </row>
    <row r="4389" ht="12.75">
      <c r="X4389" s="388"/>
    </row>
    <row r="4390" ht="12.75">
      <c r="X4390" s="388"/>
    </row>
    <row r="4391" ht="12.75">
      <c r="X4391" s="388"/>
    </row>
    <row r="4392" ht="12.75">
      <c r="X4392" s="388"/>
    </row>
    <row r="4393" ht="12.75">
      <c r="X4393" s="388"/>
    </row>
    <row r="4394" ht="12.75">
      <c r="X4394" s="388"/>
    </row>
    <row r="4395" ht="12.75">
      <c r="X4395" s="388"/>
    </row>
    <row r="4396" ht="12.75">
      <c r="X4396" s="388"/>
    </row>
    <row r="4397" ht="12.75">
      <c r="X4397" s="388"/>
    </row>
    <row r="4398" ht="12.75">
      <c r="X4398" s="388"/>
    </row>
    <row r="4399" ht="12.75">
      <c r="X4399" s="388"/>
    </row>
    <row r="4400" ht="12.75">
      <c r="X4400" s="388"/>
    </row>
    <row r="4401" ht="12.75">
      <c r="X4401" s="388"/>
    </row>
    <row r="4402" ht="12.75">
      <c r="X4402" s="388"/>
    </row>
    <row r="4403" ht="12.75">
      <c r="X4403" s="388"/>
    </row>
    <row r="4404" ht="12.75">
      <c r="X4404" s="388"/>
    </row>
    <row r="4405" ht="12.75">
      <c r="X4405" s="388"/>
    </row>
    <row r="4406" ht="12.75">
      <c r="X4406" s="388"/>
    </row>
    <row r="4407" ht="12.75">
      <c r="X4407" s="388"/>
    </row>
    <row r="4408" ht="12.75">
      <c r="X4408" s="388"/>
    </row>
    <row r="4409" ht="12.75">
      <c r="X4409" s="388"/>
    </row>
    <row r="4410" ht="12.75">
      <c r="X4410" s="388"/>
    </row>
    <row r="4411" ht="12.75">
      <c r="X4411" s="388"/>
    </row>
    <row r="4412" ht="12.75">
      <c r="X4412" s="388"/>
    </row>
    <row r="4413" ht="12.75">
      <c r="X4413" s="388"/>
    </row>
    <row r="4414" ht="12.75">
      <c r="X4414" s="388"/>
    </row>
    <row r="4415" ht="12.75">
      <c r="X4415" s="388"/>
    </row>
    <row r="4416" ht="12.75">
      <c r="X4416" s="388"/>
    </row>
    <row r="4417" ht="12.75">
      <c r="X4417" s="388"/>
    </row>
    <row r="4418" ht="12.75">
      <c r="X4418" s="388"/>
    </row>
    <row r="4419" ht="12.75">
      <c r="X4419" s="388"/>
    </row>
    <row r="4420" ht="12.75">
      <c r="X4420" s="388"/>
    </row>
    <row r="4421" ht="12.75">
      <c r="X4421" s="388"/>
    </row>
    <row r="4422" ht="12.75">
      <c r="X4422" s="388"/>
    </row>
    <row r="4423" ht="12.75">
      <c r="X4423" s="388"/>
    </row>
    <row r="4424" ht="12.75">
      <c r="X4424" s="388"/>
    </row>
    <row r="4425" ht="12.75">
      <c r="X4425" s="388"/>
    </row>
    <row r="4426" ht="12.75">
      <c r="X4426" s="388"/>
    </row>
    <row r="4427" ht="12.75">
      <c r="X4427" s="388"/>
    </row>
    <row r="4428" ht="12.75">
      <c r="X4428" s="388"/>
    </row>
    <row r="4429" ht="12.75">
      <c r="X4429" s="388"/>
    </row>
    <row r="4430" ht="12.75">
      <c r="X4430" s="388"/>
    </row>
    <row r="4431" ht="12.75">
      <c r="X4431" s="388"/>
    </row>
    <row r="4432" ht="12.75">
      <c r="X4432" s="388"/>
    </row>
    <row r="4433" ht="12.75">
      <c r="X4433" s="388"/>
    </row>
    <row r="4434" ht="12.75">
      <c r="X4434" s="388"/>
    </row>
    <row r="4435" ht="12.75">
      <c r="X4435" s="388"/>
    </row>
    <row r="4436" ht="12.75">
      <c r="X4436" s="388"/>
    </row>
    <row r="4437" ht="12.75">
      <c r="X4437" s="388"/>
    </row>
    <row r="4438" ht="12.75">
      <c r="X4438" s="388"/>
    </row>
    <row r="4439" ht="12.75">
      <c r="X4439" s="388"/>
    </row>
    <row r="4440" ht="12.75">
      <c r="X4440" s="388"/>
    </row>
    <row r="4441" ht="12.75">
      <c r="X4441" s="388"/>
    </row>
    <row r="4442" ht="12.75">
      <c r="X4442" s="388"/>
    </row>
    <row r="4443" ht="12.75">
      <c r="X4443" s="388"/>
    </row>
    <row r="4444" ht="12.75">
      <c r="X4444" s="388"/>
    </row>
    <row r="4445" ht="12.75">
      <c r="X4445" s="388"/>
    </row>
    <row r="4446" ht="12.75">
      <c r="X4446" s="388"/>
    </row>
    <row r="4447" ht="12.75">
      <c r="X4447" s="388"/>
    </row>
    <row r="4448" ht="12.75">
      <c r="X4448" s="388"/>
    </row>
    <row r="4449" ht="12.75">
      <c r="X4449" s="388"/>
    </row>
    <row r="4450" ht="12.75">
      <c r="X4450" s="388"/>
    </row>
    <row r="4451" ht="12.75">
      <c r="X4451" s="388"/>
    </row>
    <row r="4452" ht="12.75">
      <c r="X4452" s="388"/>
    </row>
    <row r="4453" ht="12.75">
      <c r="X4453" s="388"/>
    </row>
    <row r="4454" ht="12.75">
      <c r="X4454" s="388"/>
    </row>
    <row r="4455" ht="12.75">
      <c r="X4455" s="388"/>
    </row>
    <row r="4456" ht="12.75">
      <c r="X4456" s="388"/>
    </row>
    <row r="4457" ht="12.75">
      <c r="X4457" s="388"/>
    </row>
    <row r="4458" ht="12.75">
      <c r="X4458" s="388"/>
    </row>
    <row r="4459" ht="12.75">
      <c r="X4459" s="388"/>
    </row>
    <row r="4460" ht="12.75">
      <c r="X4460" s="388"/>
    </row>
    <row r="4461" ht="12.75">
      <c r="X4461" s="388"/>
    </row>
    <row r="4462" ht="12.75">
      <c r="X4462" s="388"/>
    </row>
    <row r="4463" ht="12.75">
      <c r="X4463" s="388"/>
    </row>
    <row r="4464" ht="12.75">
      <c r="X4464" s="388"/>
    </row>
    <row r="4465" ht="12.75">
      <c r="X4465" s="388"/>
    </row>
    <row r="4466" ht="12.75">
      <c r="X4466" s="388"/>
    </row>
    <row r="4467" ht="12.75">
      <c r="X4467" s="388"/>
    </row>
    <row r="4468" ht="12.75">
      <c r="X4468" s="388"/>
    </row>
    <row r="4469" ht="12.75">
      <c r="X4469" s="388"/>
    </row>
    <row r="4470" ht="12.75">
      <c r="X4470" s="388"/>
    </row>
    <row r="4471" ht="12.75">
      <c r="X4471" s="388"/>
    </row>
    <row r="4472" ht="12.75">
      <c r="X4472" s="388"/>
    </row>
    <row r="4473" ht="12.75">
      <c r="X4473" s="388"/>
    </row>
    <row r="4474" ht="12.75">
      <c r="X4474" s="388"/>
    </row>
    <row r="4475" ht="12.75">
      <c r="X4475" s="388"/>
    </row>
    <row r="4476" ht="12.75">
      <c r="X4476" s="388"/>
    </row>
    <row r="4477" ht="12.75">
      <c r="X4477" s="388"/>
    </row>
    <row r="4478" ht="12.75">
      <c r="X4478" s="388"/>
    </row>
    <row r="4479" ht="12.75">
      <c r="X4479" s="388"/>
    </row>
    <row r="4480" ht="12.75">
      <c r="X4480" s="388"/>
    </row>
    <row r="4481" ht="12.75">
      <c r="X4481" s="388"/>
    </row>
    <row r="4482" ht="12.75">
      <c r="X4482" s="388"/>
    </row>
    <row r="4483" ht="12.75">
      <c r="X4483" s="388"/>
    </row>
    <row r="4484" ht="12.75">
      <c r="X4484" s="388"/>
    </row>
    <row r="4485" ht="12.75">
      <c r="X4485" s="388"/>
    </row>
    <row r="4486" ht="12.75">
      <c r="X4486" s="388"/>
    </row>
    <row r="4487" ht="12.75">
      <c r="X4487" s="388"/>
    </row>
    <row r="4488" ht="12.75">
      <c r="X4488" s="388"/>
    </row>
    <row r="4489" ht="12.75">
      <c r="X4489" s="388"/>
    </row>
    <row r="4490" ht="12.75">
      <c r="X4490" s="388"/>
    </row>
    <row r="4491" ht="12.75">
      <c r="X4491" s="388"/>
    </row>
    <row r="4492" ht="12.75">
      <c r="X4492" s="388"/>
    </row>
    <row r="4493" ht="12.75">
      <c r="X4493" s="388"/>
    </row>
    <row r="4494" ht="12.75">
      <c r="X4494" s="388"/>
    </row>
    <row r="4495" ht="12.75">
      <c r="X4495" s="388"/>
    </row>
    <row r="4496" ht="12.75">
      <c r="X4496" s="388"/>
    </row>
    <row r="4497" ht="12.75">
      <c r="X4497" s="388"/>
    </row>
    <row r="4498" ht="12.75">
      <c r="X4498" s="388"/>
    </row>
    <row r="4499" ht="12.75">
      <c r="X4499" s="388"/>
    </row>
    <row r="4500" ht="12.75">
      <c r="X4500" s="388"/>
    </row>
    <row r="4501" ht="12.75">
      <c r="X4501" s="388"/>
    </row>
    <row r="4502" ht="12.75">
      <c r="X4502" s="388"/>
    </row>
    <row r="4503" ht="12.75">
      <c r="X4503" s="388"/>
    </row>
    <row r="4504" ht="12.75">
      <c r="X4504" s="388"/>
    </row>
    <row r="4505" ht="12.75">
      <c r="X4505" s="388"/>
    </row>
    <row r="4506" ht="12.75">
      <c r="X4506" s="388"/>
    </row>
    <row r="4507" ht="12.75">
      <c r="X4507" s="388"/>
    </row>
    <row r="4508" ht="12.75">
      <c r="X4508" s="388"/>
    </row>
    <row r="4509" ht="12.75">
      <c r="X4509" s="388"/>
    </row>
    <row r="4510" ht="12.75">
      <c r="X4510" s="388"/>
    </row>
    <row r="4511" ht="12.75">
      <c r="X4511" s="388"/>
    </row>
    <row r="4512" ht="12.75">
      <c r="X4512" s="388"/>
    </row>
    <row r="4513" ht="12.75">
      <c r="X4513" s="388"/>
    </row>
    <row r="4514" ht="12.75">
      <c r="X4514" s="388"/>
    </row>
    <row r="4515" ht="12.75">
      <c r="X4515" s="388"/>
    </row>
    <row r="4516" ht="12.75">
      <c r="X4516" s="388"/>
    </row>
    <row r="4517" ht="12.75">
      <c r="X4517" s="388"/>
    </row>
    <row r="4518" ht="12.75">
      <c r="X4518" s="388"/>
    </row>
    <row r="4519" ht="12.75">
      <c r="X4519" s="388"/>
    </row>
    <row r="4520" ht="12.75">
      <c r="X4520" s="388"/>
    </row>
    <row r="4521" ht="12.75">
      <c r="X4521" s="388"/>
    </row>
    <row r="4522" ht="12.75">
      <c r="X4522" s="388"/>
    </row>
    <row r="4523" ht="12.75">
      <c r="X4523" s="388"/>
    </row>
    <row r="4524" ht="12.75">
      <c r="X4524" s="388"/>
    </row>
    <row r="4525" ht="12.75">
      <c r="X4525" s="388"/>
    </row>
    <row r="4526" ht="12.75">
      <c r="X4526" s="388"/>
    </row>
    <row r="4527" ht="12.75">
      <c r="X4527" s="388"/>
    </row>
    <row r="4528" ht="12.75">
      <c r="X4528" s="388"/>
    </row>
    <row r="4529" ht="12.75">
      <c r="X4529" s="388"/>
    </row>
    <row r="4530" ht="12.75">
      <c r="X4530" s="388"/>
    </row>
    <row r="4531" ht="12.75">
      <c r="X4531" s="388"/>
    </row>
    <row r="4532" ht="12.75">
      <c r="X4532" s="388"/>
    </row>
    <row r="4533" ht="12.75">
      <c r="X4533" s="388"/>
    </row>
    <row r="4534" ht="12.75">
      <c r="X4534" s="388"/>
    </row>
    <row r="4535" ht="12.75">
      <c r="X4535" s="388"/>
    </row>
    <row r="4536" ht="12.75">
      <c r="X4536" s="388"/>
    </row>
    <row r="4537" ht="12.75">
      <c r="X4537" s="388"/>
    </row>
    <row r="4538" ht="12.75">
      <c r="X4538" s="388"/>
    </row>
    <row r="4539" ht="12.75">
      <c r="X4539" s="388"/>
    </row>
    <row r="4540" ht="12.75">
      <c r="X4540" s="388"/>
    </row>
    <row r="4541" ht="12.75">
      <c r="X4541" s="388"/>
    </row>
    <row r="4542" ht="12.75">
      <c r="X4542" s="388"/>
    </row>
    <row r="4543" ht="12.75">
      <c r="X4543" s="388"/>
    </row>
    <row r="4544" ht="12.75">
      <c r="X4544" s="388"/>
    </row>
    <row r="4545" ht="12.75">
      <c r="X4545" s="388"/>
    </row>
    <row r="4546" ht="12.75">
      <c r="X4546" s="388"/>
    </row>
    <row r="4547" ht="12.75">
      <c r="X4547" s="388"/>
    </row>
    <row r="4548" ht="12.75">
      <c r="X4548" s="388"/>
    </row>
    <row r="4549" ht="12.75">
      <c r="X4549" s="388"/>
    </row>
    <row r="4550" ht="12.75">
      <c r="X4550" s="388"/>
    </row>
    <row r="4551" ht="12.75">
      <c r="X4551" s="388"/>
    </row>
    <row r="4552" ht="12.75">
      <c r="X4552" s="388"/>
    </row>
    <row r="4553" ht="12.75">
      <c r="X4553" s="388"/>
    </row>
    <row r="4554" ht="12.75">
      <c r="X4554" s="388"/>
    </row>
    <row r="4555" ht="12.75">
      <c r="X4555" s="388"/>
    </row>
    <row r="4556" ht="12.75">
      <c r="X4556" s="388"/>
    </row>
    <row r="4557" ht="12.75">
      <c r="X4557" s="388"/>
    </row>
    <row r="4558" ht="12.75">
      <c r="X4558" s="388"/>
    </row>
    <row r="4559" ht="12.75">
      <c r="X4559" s="388"/>
    </row>
    <row r="4560" ht="12.75">
      <c r="X4560" s="388"/>
    </row>
    <row r="4561" ht="12.75">
      <c r="X4561" s="388"/>
    </row>
    <row r="4562" ht="12.75">
      <c r="X4562" s="388"/>
    </row>
    <row r="4563" ht="12.75">
      <c r="X4563" s="388"/>
    </row>
    <row r="4564" ht="12.75">
      <c r="X4564" s="388"/>
    </row>
    <row r="4565" ht="12.75">
      <c r="X4565" s="388"/>
    </row>
    <row r="4566" ht="12.75">
      <c r="X4566" s="388"/>
    </row>
    <row r="4567" ht="12.75">
      <c r="X4567" s="388"/>
    </row>
    <row r="4568" ht="12.75">
      <c r="X4568" s="388"/>
    </row>
    <row r="4569" ht="12.75">
      <c r="X4569" s="388"/>
    </row>
    <row r="4570" ht="12.75">
      <c r="X4570" s="388"/>
    </row>
    <row r="4571" ht="12.75">
      <c r="X4571" s="388"/>
    </row>
    <row r="4572" ht="12.75">
      <c r="X4572" s="388"/>
    </row>
    <row r="4573" ht="12.75">
      <c r="X4573" s="388"/>
    </row>
    <row r="4574" ht="12.75">
      <c r="X4574" s="388"/>
    </row>
    <row r="4575" ht="12.75">
      <c r="X4575" s="388"/>
    </row>
    <row r="4576" ht="12.75">
      <c r="X4576" s="388"/>
    </row>
    <row r="4577" ht="12.75">
      <c r="X4577" s="388"/>
    </row>
    <row r="4578" ht="12.75">
      <c r="X4578" s="388"/>
    </row>
    <row r="4579" ht="12.75">
      <c r="X4579" s="388"/>
    </row>
    <row r="4580" ht="12.75">
      <c r="X4580" s="388"/>
    </row>
    <row r="4581" ht="12.75">
      <c r="X4581" s="388"/>
    </row>
    <row r="4582" ht="12.75">
      <c r="X4582" s="388"/>
    </row>
    <row r="4583" ht="12.75">
      <c r="X4583" s="388"/>
    </row>
    <row r="4584" ht="12.75">
      <c r="X4584" s="388"/>
    </row>
    <row r="4585" ht="12.75">
      <c r="X4585" s="388"/>
    </row>
    <row r="4586" ht="12.75">
      <c r="X4586" s="388"/>
    </row>
    <row r="4587" ht="12.75">
      <c r="X4587" s="388"/>
    </row>
    <row r="4588" ht="12.75">
      <c r="X4588" s="388"/>
    </row>
    <row r="4589" ht="12.75">
      <c r="X4589" s="388"/>
    </row>
    <row r="4590" ht="12.75">
      <c r="X4590" s="388"/>
    </row>
    <row r="4591" ht="12.75">
      <c r="X4591" s="388"/>
    </row>
    <row r="4592" ht="12.75">
      <c r="X4592" s="388"/>
    </row>
    <row r="4593" ht="12.75">
      <c r="X4593" s="388"/>
    </row>
    <row r="4594" ht="12.75">
      <c r="X4594" s="388"/>
    </row>
    <row r="4595" ht="12.75">
      <c r="X4595" s="388"/>
    </row>
    <row r="4596" ht="12.75">
      <c r="X4596" s="388"/>
    </row>
    <row r="4597" ht="12.75">
      <c r="X4597" s="388"/>
    </row>
    <row r="4598" ht="12.75">
      <c r="X4598" s="388"/>
    </row>
    <row r="4599" ht="12.75">
      <c r="X4599" s="388"/>
    </row>
    <row r="4600" ht="12.75">
      <c r="X4600" s="388"/>
    </row>
    <row r="4601" ht="12.75">
      <c r="X4601" s="388"/>
    </row>
    <row r="4602" ht="12.75">
      <c r="X4602" s="388"/>
    </row>
    <row r="4603" ht="12.75">
      <c r="X4603" s="388"/>
    </row>
    <row r="4604" ht="12.75">
      <c r="X4604" s="388"/>
    </row>
    <row r="4605" ht="12.75">
      <c r="X4605" s="388"/>
    </row>
    <row r="4606" ht="12.75">
      <c r="X4606" s="388"/>
    </row>
    <row r="4607" ht="12.75">
      <c r="X4607" s="388"/>
    </row>
    <row r="4608" ht="12.75">
      <c r="X4608" s="388"/>
    </row>
    <row r="4609" ht="12.75">
      <c r="X4609" s="388"/>
    </row>
    <row r="4610" ht="12.75">
      <c r="X4610" s="388"/>
    </row>
    <row r="4611" ht="12.75">
      <c r="X4611" s="388"/>
    </row>
    <row r="4612" ht="12.75">
      <c r="X4612" s="388"/>
    </row>
    <row r="4613" ht="12.75">
      <c r="X4613" s="388"/>
    </row>
    <row r="4614" ht="12.75">
      <c r="X4614" s="388"/>
    </row>
    <row r="4615" ht="12.75">
      <c r="X4615" s="388"/>
    </row>
    <row r="4616" ht="12.75">
      <c r="X4616" s="388"/>
    </row>
    <row r="4617" ht="12.75">
      <c r="X4617" s="388"/>
    </row>
    <row r="4618" ht="12.75">
      <c r="X4618" s="388"/>
    </row>
    <row r="4619" ht="12.75">
      <c r="X4619" s="388"/>
    </row>
    <row r="4620" ht="12.75">
      <c r="X4620" s="388"/>
    </row>
    <row r="4621" ht="12.75">
      <c r="X4621" s="388"/>
    </row>
    <row r="4622" ht="12.75">
      <c r="X4622" s="388"/>
    </row>
    <row r="4623" ht="12.75">
      <c r="X4623" s="388"/>
    </row>
    <row r="4624" ht="12.75">
      <c r="X4624" s="388"/>
    </row>
    <row r="4625" ht="12.75">
      <c r="X4625" s="388"/>
    </row>
    <row r="4626" ht="12.75">
      <c r="X4626" s="388"/>
    </row>
    <row r="4627" ht="12.75">
      <c r="X4627" s="388"/>
    </row>
    <row r="4628" ht="12.75">
      <c r="X4628" s="388"/>
    </row>
    <row r="4629" ht="12.75">
      <c r="X4629" s="388"/>
    </row>
    <row r="4630" ht="12.75">
      <c r="X4630" s="388"/>
    </row>
    <row r="4631" ht="12.75">
      <c r="X4631" s="388"/>
    </row>
    <row r="4632" ht="12.75">
      <c r="X4632" s="388"/>
    </row>
    <row r="4633" ht="12.75">
      <c r="X4633" s="388"/>
    </row>
    <row r="4634" ht="12.75">
      <c r="X4634" s="388"/>
    </row>
    <row r="4635" ht="12.75">
      <c r="X4635" s="388"/>
    </row>
    <row r="4636" ht="12.75">
      <c r="X4636" s="388"/>
    </row>
    <row r="4637" ht="12.75">
      <c r="X4637" s="388"/>
    </row>
    <row r="4638" ht="12.75">
      <c r="X4638" s="388"/>
    </row>
    <row r="4639" ht="12.75">
      <c r="X4639" s="388"/>
    </row>
    <row r="4640" ht="12.75">
      <c r="X4640" s="388"/>
    </row>
    <row r="4641" ht="12.75">
      <c r="X4641" s="388"/>
    </row>
    <row r="4642" ht="12.75">
      <c r="X4642" s="388"/>
    </row>
    <row r="4643" ht="12.75">
      <c r="X4643" s="388"/>
    </row>
    <row r="4644" ht="12.75">
      <c r="X4644" s="388"/>
    </row>
    <row r="4645" ht="12.75">
      <c r="X4645" s="388"/>
    </row>
    <row r="4646" ht="12.75">
      <c r="X4646" s="388"/>
    </row>
    <row r="4647" ht="12.75">
      <c r="X4647" s="388"/>
    </row>
    <row r="4648" ht="12.75">
      <c r="X4648" s="388"/>
    </row>
    <row r="4649" ht="12.75">
      <c r="X4649" s="388"/>
    </row>
    <row r="4650" ht="12.75">
      <c r="X4650" s="388"/>
    </row>
    <row r="4651" ht="12.75">
      <c r="X4651" s="388"/>
    </row>
    <row r="4652" ht="12.75">
      <c r="X4652" s="388"/>
    </row>
    <row r="4653" ht="12.75">
      <c r="X4653" s="388"/>
    </row>
    <row r="4654" ht="12.75">
      <c r="X4654" s="388"/>
    </row>
    <row r="4655" ht="12.75">
      <c r="X4655" s="388"/>
    </row>
    <row r="4656" ht="12.75">
      <c r="X4656" s="388"/>
    </row>
    <row r="4657" ht="12.75">
      <c r="X4657" s="388"/>
    </row>
    <row r="4658" ht="12.75">
      <c r="X4658" s="388"/>
    </row>
    <row r="4659" ht="12.75">
      <c r="X4659" s="388"/>
    </row>
    <row r="4660" ht="12.75">
      <c r="X4660" s="388"/>
    </row>
    <row r="4661" ht="12.75">
      <c r="X4661" s="388"/>
    </row>
    <row r="4662" ht="12.75">
      <c r="X4662" s="388"/>
    </row>
    <row r="4663" ht="12.75">
      <c r="X4663" s="388"/>
    </row>
    <row r="4664" ht="12.75">
      <c r="X4664" s="388"/>
    </row>
    <row r="4665" ht="12.75">
      <c r="X4665" s="388"/>
    </row>
    <row r="4666" ht="12.75">
      <c r="X4666" s="388"/>
    </row>
    <row r="4667" ht="12.75">
      <c r="X4667" s="388"/>
    </row>
    <row r="4668" ht="12.75">
      <c r="X4668" s="388"/>
    </row>
    <row r="4669" ht="12.75">
      <c r="X4669" s="388"/>
    </row>
    <row r="4670" ht="12.75">
      <c r="X4670" s="388"/>
    </row>
    <row r="4671" ht="12.75">
      <c r="X4671" s="388"/>
    </row>
    <row r="4672" ht="12.75">
      <c r="X4672" s="388"/>
    </row>
    <row r="4673" ht="12.75">
      <c r="X4673" s="388"/>
    </row>
    <row r="4674" ht="12.75">
      <c r="X4674" s="388"/>
    </row>
    <row r="4675" ht="12.75">
      <c r="X4675" s="388"/>
    </row>
    <row r="4676" ht="12.75">
      <c r="X4676" s="388"/>
    </row>
    <row r="4677" ht="12.75">
      <c r="X4677" s="388"/>
    </row>
    <row r="4678" ht="12.75">
      <c r="X4678" s="388"/>
    </row>
    <row r="4679" ht="12.75">
      <c r="X4679" s="388"/>
    </row>
    <row r="4680" ht="12.75">
      <c r="X4680" s="388"/>
    </row>
    <row r="4681" ht="12.75">
      <c r="X4681" s="388"/>
    </row>
    <row r="4682" ht="12.75">
      <c r="X4682" s="388"/>
    </row>
    <row r="4683" ht="12.75">
      <c r="X4683" s="388"/>
    </row>
    <row r="4684" ht="12.75">
      <c r="X4684" s="388"/>
    </row>
    <row r="4685" ht="12.75">
      <c r="X4685" s="388"/>
    </row>
    <row r="4686" ht="12.75">
      <c r="X4686" s="388"/>
    </row>
    <row r="4687" ht="12.75">
      <c r="X4687" s="388"/>
    </row>
    <row r="4688" ht="12.75">
      <c r="X4688" s="388"/>
    </row>
    <row r="4689" ht="12.75">
      <c r="X4689" s="388"/>
    </row>
    <row r="4690" ht="12.75">
      <c r="X4690" s="388"/>
    </row>
    <row r="4691" ht="12.75">
      <c r="X4691" s="388"/>
    </row>
    <row r="4692" ht="12.75">
      <c r="X4692" s="388"/>
    </row>
    <row r="4693" ht="12.75">
      <c r="X4693" s="388"/>
    </row>
    <row r="4694" ht="12.75">
      <c r="X4694" s="388"/>
    </row>
    <row r="4695" ht="12.75">
      <c r="X4695" s="388"/>
    </row>
    <row r="4696" ht="12.75">
      <c r="X4696" s="388"/>
    </row>
    <row r="4697" ht="12.75">
      <c r="X4697" s="388"/>
    </row>
    <row r="4698" ht="12.75">
      <c r="X4698" s="388"/>
    </row>
    <row r="4699" ht="12.75">
      <c r="X4699" s="388"/>
    </row>
    <row r="4700" ht="12.75">
      <c r="X4700" s="388"/>
    </row>
    <row r="4701" ht="12.75">
      <c r="X4701" s="388"/>
    </row>
    <row r="4702" ht="12.75">
      <c r="X4702" s="388"/>
    </row>
    <row r="4703" ht="12.75">
      <c r="X4703" s="388"/>
    </row>
    <row r="4704" ht="12.75">
      <c r="X4704" s="388"/>
    </row>
    <row r="4705" ht="12.75">
      <c r="X4705" s="388"/>
    </row>
    <row r="4706" ht="12.75">
      <c r="X4706" s="388"/>
    </row>
    <row r="4707" ht="12.75">
      <c r="X4707" s="388"/>
    </row>
    <row r="4708" ht="12.75">
      <c r="X4708" s="388"/>
    </row>
    <row r="4709" ht="12.75">
      <c r="X4709" s="388"/>
    </row>
    <row r="4710" ht="12.75">
      <c r="X4710" s="388"/>
    </row>
    <row r="4711" ht="12.75">
      <c r="X4711" s="388"/>
    </row>
    <row r="4712" ht="12.75">
      <c r="X4712" s="388"/>
    </row>
    <row r="4713" ht="12.75">
      <c r="X4713" s="388"/>
    </row>
    <row r="4714" ht="12.75">
      <c r="X4714" s="388"/>
    </row>
    <row r="4715" ht="12.75">
      <c r="X4715" s="388"/>
    </row>
    <row r="4716" ht="12.75">
      <c r="X4716" s="388"/>
    </row>
    <row r="4717" ht="12.75">
      <c r="X4717" s="388"/>
    </row>
    <row r="4718" ht="12.75">
      <c r="X4718" s="388"/>
    </row>
    <row r="4719" ht="12.75">
      <c r="X4719" s="388"/>
    </row>
    <row r="4720" ht="12.75">
      <c r="X4720" s="388"/>
    </row>
    <row r="4721" ht="12.75">
      <c r="X4721" s="388"/>
    </row>
    <row r="4722" ht="12.75">
      <c r="X4722" s="388"/>
    </row>
    <row r="4723" ht="12.75">
      <c r="X4723" s="388"/>
    </row>
    <row r="4724" ht="12.75">
      <c r="X4724" s="388"/>
    </row>
    <row r="4725" ht="12.75">
      <c r="X4725" s="388"/>
    </row>
    <row r="4726" ht="12.75">
      <c r="X4726" s="388"/>
    </row>
    <row r="4727" ht="12.75">
      <c r="X4727" s="388"/>
    </row>
    <row r="4728" ht="12.75">
      <c r="X4728" s="388"/>
    </row>
    <row r="4729" ht="12.75">
      <c r="X4729" s="388"/>
    </row>
    <row r="4730" ht="12.75">
      <c r="X4730" s="388"/>
    </row>
    <row r="4731" ht="12.75">
      <c r="X4731" s="388"/>
    </row>
    <row r="4732" ht="12.75">
      <c r="X4732" s="388"/>
    </row>
    <row r="4733" ht="12.75">
      <c r="X4733" s="388"/>
    </row>
    <row r="4734" ht="12.75">
      <c r="X4734" s="388"/>
    </row>
    <row r="4735" ht="12.75">
      <c r="X4735" s="388"/>
    </row>
    <row r="4736" ht="12.75">
      <c r="X4736" s="388"/>
    </row>
    <row r="4737" ht="12.75">
      <c r="X4737" s="388"/>
    </row>
    <row r="4738" ht="12.75">
      <c r="X4738" s="388"/>
    </row>
    <row r="4739" ht="12.75">
      <c r="X4739" s="388"/>
    </row>
    <row r="4740" ht="12.75">
      <c r="X4740" s="388"/>
    </row>
    <row r="4741" ht="12.75">
      <c r="X4741" s="388"/>
    </row>
    <row r="4742" ht="12.75">
      <c r="X4742" s="388"/>
    </row>
    <row r="4743" ht="12.75">
      <c r="X4743" s="388"/>
    </row>
    <row r="4744" ht="12.75">
      <c r="X4744" s="388"/>
    </row>
    <row r="4745" ht="12.75">
      <c r="X4745" s="388"/>
    </row>
    <row r="4746" ht="12.75">
      <c r="X4746" s="388"/>
    </row>
    <row r="4747" ht="12.75">
      <c r="X4747" s="388"/>
    </row>
    <row r="4748" ht="12.75">
      <c r="X4748" s="388"/>
    </row>
    <row r="4749" ht="12.75">
      <c r="X4749" s="388"/>
    </row>
    <row r="4750" ht="12.75">
      <c r="X4750" s="388"/>
    </row>
    <row r="4751" ht="12.75">
      <c r="X4751" s="388"/>
    </row>
    <row r="4752" ht="12.75">
      <c r="X4752" s="388"/>
    </row>
    <row r="4753" ht="12.75">
      <c r="X4753" s="388"/>
    </row>
    <row r="4754" ht="12.75">
      <c r="X4754" s="388"/>
    </row>
    <row r="4755" ht="12.75">
      <c r="X4755" s="388"/>
    </row>
    <row r="4756" ht="12.75">
      <c r="X4756" s="388"/>
    </row>
    <row r="4757" ht="12.75">
      <c r="X4757" s="388"/>
    </row>
    <row r="4758" ht="12.75">
      <c r="X4758" s="388"/>
    </row>
    <row r="4759" ht="12.75">
      <c r="X4759" s="388"/>
    </row>
    <row r="4760" ht="12.75">
      <c r="X4760" s="388"/>
    </row>
    <row r="4761" ht="12.75">
      <c r="X4761" s="388"/>
    </row>
    <row r="4762" ht="12.75">
      <c r="X4762" s="388"/>
    </row>
    <row r="4763" ht="12.75">
      <c r="X4763" s="388"/>
    </row>
    <row r="4764" ht="12.75">
      <c r="X4764" s="388"/>
    </row>
    <row r="4765" ht="12.75">
      <c r="X4765" s="388"/>
    </row>
    <row r="4766" ht="12.75">
      <c r="X4766" s="388"/>
    </row>
    <row r="4767" ht="12.75">
      <c r="X4767" s="388"/>
    </row>
    <row r="4768" ht="12.75">
      <c r="X4768" s="388"/>
    </row>
    <row r="4769" ht="12.75">
      <c r="X4769" s="388"/>
    </row>
    <row r="4770" ht="12.75">
      <c r="X4770" s="388"/>
    </row>
    <row r="4771" ht="12.75">
      <c r="X4771" s="388"/>
    </row>
    <row r="4772" ht="12.75">
      <c r="X4772" s="388"/>
    </row>
    <row r="4773" ht="12.75">
      <c r="X4773" s="388"/>
    </row>
    <row r="4774" ht="12.75">
      <c r="X4774" s="388"/>
    </row>
    <row r="4775" ht="12.75">
      <c r="X4775" s="388"/>
    </row>
    <row r="4776" ht="12.75">
      <c r="X4776" s="388"/>
    </row>
    <row r="4777" ht="12.75">
      <c r="X4777" s="388"/>
    </row>
    <row r="4778" ht="12.75">
      <c r="X4778" s="388"/>
    </row>
    <row r="4779" ht="12.75">
      <c r="X4779" s="388"/>
    </row>
    <row r="4780" ht="12.75">
      <c r="X4780" s="388"/>
    </row>
    <row r="4781" ht="12.75">
      <c r="X4781" s="388"/>
    </row>
    <row r="4782" ht="12.75">
      <c r="X4782" s="388"/>
    </row>
    <row r="4783" ht="12.75">
      <c r="X4783" s="388"/>
    </row>
    <row r="4784" ht="12.75">
      <c r="X4784" s="388"/>
    </row>
    <row r="4785" ht="12.75">
      <c r="X4785" s="388"/>
    </row>
    <row r="4786" ht="12.75">
      <c r="X4786" s="388"/>
    </row>
    <row r="4787" ht="12.75">
      <c r="X4787" s="388"/>
    </row>
    <row r="4788" ht="12.75">
      <c r="X4788" s="388"/>
    </row>
    <row r="4789" ht="12.75">
      <c r="X4789" s="388"/>
    </row>
    <row r="4790" ht="12.75">
      <c r="X4790" s="388"/>
    </row>
    <row r="4791" ht="12.75">
      <c r="X4791" s="388"/>
    </row>
    <row r="4792" ht="12.75">
      <c r="X4792" s="388"/>
    </row>
    <row r="4793" ht="12.75">
      <c r="X4793" s="388"/>
    </row>
    <row r="4794" ht="12.75">
      <c r="X4794" s="388"/>
    </row>
    <row r="4795" ht="12.75">
      <c r="X4795" s="388"/>
    </row>
    <row r="4796" ht="12.75">
      <c r="X4796" s="388"/>
    </row>
    <row r="4797" ht="12.75">
      <c r="X4797" s="388"/>
    </row>
    <row r="4798" ht="12.75">
      <c r="X4798" s="388"/>
    </row>
    <row r="4799" ht="12.75">
      <c r="X4799" s="388"/>
    </row>
    <row r="4800" ht="12.75">
      <c r="X4800" s="388"/>
    </row>
    <row r="4801" ht="12.75">
      <c r="X4801" s="388"/>
    </row>
    <row r="4802" ht="12.75">
      <c r="X4802" s="388"/>
    </row>
    <row r="4803" ht="12.75">
      <c r="X4803" s="388"/>
    </row>
    <row r="4804" ht="12.75">
      <c r="X4804" s="388"/>
    </row>
    <row r="4805" ht="12.75">
      <c r="X4805" s="388"/>
    </row>
    <row r="4806" ht="12.75">
      <c r="X4806" s="388"/>
    </row>
    <row r="4807" ht="12.75">
      <c r="X4807" s="388"/>
    </row>
    <row r="4808" ht="12.75">
      <c r="X4808" s="388"/>
    </row>
    <row r="4809" ht="12.75">
      <c r="X4809" s="388"/>
    </row>
    <row r="4810" ht="12.75">
      <c r="X4810" s="388"/>
    </row>
    <row r="4811" ht="12.75">
      <c r="X4811" s="388"/>
    </row>
    <row r="4812" ht="12.75">
      <c r="X4812" s="388"/>
    </row>
    <row r="4813" ht="12.75">
      <c r="X4813" s="388"/>
    </row>
    <row r="4814" ht="12.75">
      <c r="X4814" s="388"/>
    </row>
    <row r="4815" ht="12.75">
      <c r="X4815" s="388"/>
    </row>
    <row r="4816" ht="12.75">
      <c r="X4816" s="388"/>
    </row>
    <row r="4817" ht="12.75">
      <c r="X4817" s="388"/>
    </row>
    <row r="4818" ht="12.75">
      <c r="X4818" s="388"/>
    </row>
    <row r="4819" ht="12.75">
      <c r="X4819" s="388"/>
    </row>
    <row r="4820" ht="12.75">
      <c r="X4820" s="388"/>
    </row>
    <row r="4821" ht="12.75">
      <c r="X4821" s="388"/>
    </row>
    <row r="4822" ht="12.75">
      <c r="X4822" s="388"/>
    </row>
    <row r="4823" ht="12.75">
      <c r="X4823" s="388"/>
    </row>
    <row r="4824" ht="12.75">
      <c r="X4824" s="388"/>
    </row>
    <row r="4825" ht="12.75">
      <c r="X4825" s="388"/>
    </row>
    <row r="4826" ht="12.75">
      <c r="X4826" s="388"/>
    </row>
    <row r="4827" ht="12.75">
      <c r="X4827" s="388"/>
    </row>
    <row r="4828" ht="12.75">
      <c r="X4828" s="388"/>
    </row>
    <row r="4829" ht="12.75">
      <c r="X4829" s="388"/>
    </row>
    <row r="4830" ht="12.75">
      <c r="X4830" s="388"/>
    </row>
    <row r="4831" ht="12.75">
      <c r="X4831" s="388"/>
    </row>
    <row r="4832" ht="12.75">
      <c r="X4832" s="388"/>
    </row>
    <row r="4833" ht="12.75">
      <c r="X4833" s="388"/>
    </row>
    <row r="4834" ht="12.75">
      <c r="X4834" s="388"/>
    </row>
    <row r="4835" ht="12.75">
      <c r="X4835" s="388"/>
    </row>
    <row r="4836" ht="12.75">
      <c r="X4836" s="388"/>
    </row>
    <row r="4837" ht="12.75">
      <c r="X4837" s="388"/>
    </row>
    <row r="4838" ht="12.75">
      <c r="X4838" s="388"/>
    </row>
    <row r="4839" ht="12.75">
      <c r="X4839" s="388"/>
    </row>
    <row r="4840" ht="12.75">
      <c r="X4840" s="388"/>
    </row>
    <row r="4841" ht="12.75">
      <c r="X4841" s="388"/>
    </row>
    <row r="4842" ht="12.75">
      <c r="X4842" s="388"/>
    </row>
    <row r="4843" ht="12.75">
      <c r="X4843" s="388"/>
    </row>
    <row r="4844" ht="12.75">
      <c r="X4844" s="388"/>
    </row>
    <row r="4845" ht="12.75">
      <c r="X4845" s="388"/>
    </row>
    <row r="4846" ht="12.75">
      <c r="X4846" s="388"/>
    </row>
    <row r="4847" ht="12.75">
      <c r="X4847" s="388"/>
    </row>
    <row r="4848" ht="12.75">
      <c r="X4848" s="388"/>
    </row>
    <row r="4849" ht="12.75">
      <c r="X4849" s="388"/>
    </row>
    <row r="4850" ht="12.75">
      <c r="X4850" s="388"/>
    </row>
    <row r="4851" ht="12.75">
      <c r="X4851" s="388"/>
    </row>
    <row r="4852" ht="12.75">
      <c r="X4852" s="388"/>
    </row>
    <row r="4853" ht="12.75">
      <c r="X4853" s="388"/>
    </row>
    <row r="4854" ht="12.75">
      <c r="X4854" s="388"/>
    </row>
    <row r="4855" ht="12.75">
      <c r="X4855" s="388"/>
    </row>
    <row r="4856" ht="12.75">
      <c r="X4856" s="388"/>
    </row>
    <row r="4857" ht="12.75">
      <c r="X4857" s="388"/>
    </row>
    <row r="4858" ht="12.75">
      <c r="X4858" s="388"/>
    </row>
    <row r="4859" ht="12.75">
      <c r="X4859" s="388"/>
    </row>
    <row r="4860" ht="12.75">
      <c r="X4860" s="388"/>
    </row>
    <row r="4861" ht="12.75">
      <c r="X4861" s="388"/>
    </row>
    <row r="4862" ht="12.75">
      <c r="X4862" s="388"/>
    </row>
    <row r="4863" ht="12.75">
      <c r="X4863" s="388"/>
    </row>
    <row r="4864" ht="12.75">
      <c r="X4864" s="388"/>
    </row>
    <row r="4865" ht="12.75">
      <c r="X4865" s="388"/>
    </row>
    <row r="4866" ht="12.75">
      <c r="X4866" s="388"/>
    </row>
    <row r="4867" ht="12.75">
      <c r="X4867" s="388"/>
    </row>
    <row r="4868" ht="12.75">
      <c r="X4868" s="388"/>
    </row>
    <row r="4869" ht="12.75">
      <c r="X4869" s="388"/>
    </row>
    <row r="4870" ht="12.75">
      <c r="X4870" s="388"/>
    </row>
    <row r="4871" ht="12.75">
      <c r="X4871" s="388"/>
    </row>
    <row r="4872" ht="12.75">
      <c r="X4872" s="388"/>
    </row>
    <row r="4873" ht="12.75">
      <c r="X4873" s="388"/>
    </row>
    <row r="4874" ht="12.75">
      <c r="X4874" s="388"/>
    </row>
    <row r="4875" ht="12.75">
      <c r="X4875" s="388"/>
    </row>
    <row r="4876" ht="12.75">
      <c r="X4876" s="388"/>
    </row>
    <row r="4877" ht="12.75">
      <c r="X4877" s="388"/>
    </row>
    <row r="4878" ht="12.75">
      <c r="X4878" s="388"/>
    </row>
    <row r="4879" ht="12.75">
      <c r="X4879" s="388"/>
    </row>
    <row r="4880" ht="12.75">
      <c r="X4880" s="388"/>
    </row>
    <row r="4881" ht="12.75">
      <c r="X4881" s="388"/>
    </row>
    <row r="4882" ht="12.75">
      <c r="X4882" s="388"/>
    </row>
    <row r="4883" ht="12.75">
      <c r="X4883" s="388"/>
    </row>
    <row r="4884" ht="12.75">
      <c r="X4884" s="388"/>
    </row>
    <row r="4885" ht="12.75">
      <c r="X4885" s="388"/>
    </row>
    <row r="4886" ht="12.75">
      <c r="X4886" s="388"/>
    </row>
    <row r="4887" ht="12.75">
      <c r="X4887" s="388"/>
    </row>
    <row r="4888" ht="12.75">
      <c r="X4888" s="388"/>
    </row>
    <row r="4889" ht="12.75">
      <c r="X4889" s="388"/>
    </row>
    <row r="4890" ht="12.75">
      <c r="X4890" s="388"/>
    </row>
    <row r="4891" ht="12.75">
      <c r="X4891" s="388"/>
    </row>
    <row r="4892" ht="12.75">
      <c r="X4892" s="388"/>
    </row>
    <row r="4893" ht="12.75">
      <c r="X4893" s="388"/>
    </row>
    <row r="4894" ht="12.75">
      <c r="X4894" s="388"/>
    </row>
    <row r="4895" ht="12.75">
      <c r="X4895" s="388"/>
    </row>
    <row r="4896" ht="12.75">
      <c r="X4896" s="388"/>
    </row>
    <row r="4897" ht="12.75">
      <c r="X4897" s="388"/>
    </row>
    <row r="4898" ht="12.75">
      <c r="X4898" s="388"/>
    </row>
    <row r="4899" ht="12.75">
      <c r="X4899" s="388"/>
    </row>
    <row r="4900" ht="12.75">
      <c r="X4900" s="388"/>
    </row>
    <row r="4901" ht="12.75">
      <c r="X4901" s="388"/>
    </row>
    <row r="4902" ht="12.75">
      <c r="X4902" s="388"/>
    </row>
    <row r="4903" ht="12.75">
      <c r="X4903" s="388"/>
    </row>
    <row r="4904" ht="12.75">
      <c r="X4904" s="388"/>
    </row>
    <row r="4905" ht="12.75">
      <c r="X4905" s="388"/>
    </row>
    <row r="4906" ht="12.75">
      <c r="X4906" s="388"/>
    </row>
    <row r="4907" ht="12.75">
      <c r="X4907" s="388"/>
    </row>
    <row r="4908" ht="12.75">
      <c r="X4908" s="388"/>
    </row>
    <row r="4909" ht="12.75">
      <c r="X4909" s="388"/>
    </row>
    <row r="4910" ht="12.75">
      <c r="X4910" s="388"/>
    </row>
    <row r="4911" ht="12.75">
      <c r="X4911" s="388"/>
    </row>
    <row r="4912" ht="12.75">
      <c r="X4912" s="388"/>
    </row>
    <row r="4913" ht="12.75">
      <c r="X4913" s="388"/>
    </row>
    <row r="4914" ht="12.75">
      <c r="X4914" s="388"/>
    </row>
    <row r="4915" ht="12.75">
      <c r="X4915" s="388"/>
    </row>
    <row r="4916" ht="12.75">
      <c r="X4916" s="388"/>
    </row>
    <row r="4917" ht="12.75">
      <c r="X4917" s="388"/>
    </row>
    <row r="4918" ht="12.75">
      <c r="X4918" s="388"/>
    </row>
    <row r="4919" ht="12.75">
      <c r="X4919" s="388"/>
    </row>
    <row r="4920" ht="12.75">
      <c r="X4920" s="388"/>
    </row>
    <row r="4921" ht="12.75">
      <c r="X4921" s="388"/>
    </row>
    <row r="4922" ht="12.75">
      <c r="X4922" s="388"/>
    </row>
    <row r="4923" ht="12.75">
      <c r="X4923" s="388"/>
    </row>
    <row r="4924" ht="12.75">
      <c r="X4924" s="388"/>
    </row>
    <row r="4925" ht="12.75">
      <c r="X4925" s="388"/>
    </row>
    <row r="4926" ht="12.75">
      <c r="X4926" s="388"/>
    </row>
    <row r="4927" ht="12.75">
      <c r="X4927" s="388"/>
    </row>
    <row r="4928" ht="12.75">
      <c r="X4928" s="388"/>
    </row>
    <row r="4929" ht="12.75">
      <c r="X4929" s="388"/>
    </row>
    <row r="4930" ht="12.75">
      <c r="X4930" s="388"/>
    </row>
    <row r="4931" ht="12.75">
      <c r="X4931" s="388"/>
    </row>
    <row r="4932" ht="12.75">
      <c r="X4932" s="388"/>
    </row>
    <row r="4933" ht="12.75">
      <c r="X4933" s="388"/>
    </row>
    <row r="4934" ht="12.75">
      <c r="X4934" s="388"/>
    </row>
    <row r="4935" ht="12.75">
      <c r="X4935" s="388"/>
    </row>
    <row r="4936" ht="12.75">
      <c r="X4936" s="388"/>
    </row>
    <row r="4937" ht="12.75">
      <c r="X4937" s="388"/>
    </row>
    <row r="4938" ht="12.75">
      <c r="X4938" s="388"/>
    </row>
    <row r="4939" ht="12.75">
      <c r="X4939" s="388"/>
    </row>
    <row r="4940" ht="12.75">
      <c r="X4940" s="388"/>
    </row>
    <row r="4941" ht="12.75">
      <c r="X4941" s="388"/>
    </row>
    <row r="4942" ht="12.75">
      <c r="X4942" s="388"/>
    </row>
    <row r="4943" ht="12.75">
      <c r="X4943" s="388"/>
    </row>
    <row r="4944" ht="12.75">
      <c r="X4944" s="388"/>
    </row>
    <row r="4945" ht="12.75">
      <c r="X4945" s="388"/>
    </row>
    <row r="4946" ht="12.75">
      <c r="X4946" s="388"/>
    </row>
    <row r="4947" ht="12.75">
      <c r="X4947" s="388"/>
    </row>
    <row r="4948" ht="12.75">
      <c r="X4948" s="388"/>
    </row>
    <row r="4949" ht="12.75">
      <c r="X4949" s="388"/>
    </row>
    <row r="4950" ht="12.75">
      <c r="X4950" s="388"/>
    </row>
    <row r="4951" ht="12.75">
      <c r="X4951" s="388"/>
    </row>
    <row r="4952" ht="12.75">
      <c r="X4952" s="388"/>
    </row>
    <row r="4953" ht="12.75">
      <c r="X4953" s="388"/>
    </row>
    <row r="4954" ht="12.75">
      <c r="X4954" s="388"/>
    </row>
    <row r="4955" ht="12.75">
      <c r="X4955" s="388"/>
    </row>
    <row r="4956" ht="12.75">
      <c r="X4956" s="388"/>
    </row>
    <row r="4957" ht="12.75">
      <c r="X4957" s="388"/>
    </row>
    <row r="4958" ht="12.75">
      <c r="X4958" s="388"/>
    </row>
    <row r="4959" ht="12.75">
      <c r="X4959" s="388"/>
    </row>
    <row r="4960" ht="12.75">
      <c r="X4960" s="388"/>
    </row>
    <row r="4961" ht="12.75">
      <c r="X4961" s="388"/>
    </row>
    <row r="4962" ht="12.75">
      <c r="X4962" s="388"/>
    </row>
    <row r="4963" ht="12.75">
      <c r="X4963" s="388"/>
    </row>
    <row r="4964" ht="12.75">
      <c r="X4964" s="388"/>
    </row>
    <row r="4965" ht="12.75">
      <c r="X4965" s="388"/>
    </row>
    <row r="4966" ht="12.75">
      <c r="X4966" s="388"/>
    </row>
    <row r="4967" ht="12.75">
      <c r="X4967" s="388"/>
    </row>
    <row r="4968" ht="12.75">
      <c r="X4968" s="388"/>
    </row>
    <row r="4969" ht="12.75">
      <c r="X4969" s="388"/>
    </row>
    <row r="4970" ht="12.75">
      <c r="X4970" s="388"/>
    </row>
    <row r="4971" ht="12.75">
      <c r="X4971" s="388"/>
    </row>
    <row r="4972" ht="12.75">
      <c r="X4972" s="388"/>
    </row>
    <row r="4973" ht="12.75">
      <c r="X4973" s="388"/>
    </row>
  </sheetData>
  <sheetProtection/>
  <autoFilter ref="A7:X577"/>
  <mergeCells count="25">
    <mergeCell ref="A580:G580"/>
    <mergeCell ref="A581:G581"/>
    <mergeCell ref="G4:G6"/>
    <mergeCell ref="H4:H6"/>
    <mergeCell ref="I4:I6"/>
    <mergeCell ref="J5:J6"/>
    <mergeCell ref="A4:F5"/>
    <mergeCell ref="T1:X1"/>
    <mergeCell ref="A2:X2"/>
    <mergeCell ref="J4:X4"/>
    <mergeCell ref="E6:F6"/>
    <mergeCell ref="W5:W6"/>
    <mergeCell ref="X5:X6"/>
    <mergeCell ref="U5:U6"/>
    <mergeCell ref="V5:V6"/>
    <mergeCell ref="M5:M6"/>
    <mergeCell ref="N5:N6"/>
    <mergeCell ref="S5:S6"/>
    <mergeCell ref="T5:T6"/>
    <mergeCell ref="O5:O6"/>
    <mergeCell ref="P5:P6"/>
    <mergeCell ref="K5:K6"/>
    <mergeCell ref="L5:L6"/>
    <mergeCell ref="Q5:Q6"/>
    <mergeCell ref="R5:R6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12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user</cp:lastModifiedBy>
  <cp:lastPrinted>2021-06-30T08:39:51Z</cp:lastPrinted>
  <dcterms:created xsi:type="dcterms:W3CDTF">2015-09-23T05:26:21Z</dcterms:created>
  <dcterms:modified xsi:type="dcterms:W3CDTF">2021-09-28T14:01:50Z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1049-11.2.0.10200</vt:lpwstr>
  </property>
</Properties>
</file>