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570" windowHeight="6270" activeTab="0"/>
  </bookViews>
  <sheets>
    <sheet name="Приложение 4" sheetId="1" r:id="rId1"/>
  </sheets>
  <definedNames>
    <definedName name="_xlnm._FilterDatabase" localSheetId="0" hidden="1">'Приложение 4'!$A$7:$AP$497</definedName>
    <definedName name="_xlnm.Print_Area" localSheetId="0">'Приложение 4'!$A$1:$Q$498</definedName>
  </definedNames>
  <calcPr fullCalcOnLoad="1" fullPrecision="0"/>
</workbook>
</file>

<file path=xl/sharedStrings.xml><?xml version="1.0" encoding="utf-8"?>
<sst xmlns="http://schemas.openxmlformats.org/spreadsheetml/2006/main" count="1667" uniqueCount="404">
  <si>
    <t>Показатель 5. Доля объектов муниципальных образовательных организаций, где обеспечено соблюдение технико-экономических и эксплуатационных показателей (характеристик) систем противопожарного водопровода и средств пожаротушения на изначально предусмотренном уровне,  приведение в соответствие нормативам систем противопожарного водопровода</t>
  </si>
  <si>
    <t>Показатель 1. Количество планов мероприятий по исполнению предписаний ОНД г. Северодвинска</t>
  </si>
  <si>
    <t>Показатель 1. Количество объектов, оборудованных системой автоматического вывода на пульт подразделения, ответственного за их противопожарную безопасность</t>
  </si>
  <si>
    <t xml:space="preserve">Показатель 1. Количество дверей 0,6 часа степени огнестойкости, установленных в пожароопасных помещениях </t>
  </si>
  <si>
    <t>Задача: Обеспечение защиты муниципальных образовательных организаций от терроризма и угроз  социально-криминального характера</t>
  </si>
  <si>
    <t>Показатель 1. Доля объектов муниципальных образовательных организаций, где восстановлено утраченное ограждение</t>
  </si>
  <si>
    <t>Показатель 2. Доля объектов муниципальных образовательных организаций, оборудованных системами видеонаблюдения</t>
  </si>
  <si>
    <t>Показатель 3. Доля объектов муниципальных образовательных организаций, на территории которых выполнено устройство ограждения</t>
  </si>
  <si>
    <t>Показатель 1. Количество планов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</si>
  <si>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t>Показатель 1. Количество объектов, где восстановлено утраченное ограждение</t>
  </si>
  <si>
    <t>Показатель 2. Количество муниципальных организаций (объектов), оснащенных системами видеонаблюдения</t>
  </si>
  <si>
    <t>Мероприятие 1.01. Расходы на содержание органов Администрации Северодвинска и обеспечение их функций</t>
  </si>
  <si>
    <t>2. Административные мероприятия</t>
  </si>
  <si>
    <t>Административное мероприятие 2.01. Разработка нормативных правовых актов, необходимых для реализации законодательства в сфере образования на территории муниципального образования «Северодвинск»</t>
  </si>
  <si>
    <t>Показатель 3. Количество объектов, на территории которых выполнено устройство ограждения</t>
  </si>
  <si>
    <t>Задача: Обеспечение соблюдения санитарно-гигиенических норм и требований охраны труда при организации обучения и воспитания</t>
  </si>
  <si>
    <t>Показатель 1. Количество разработанных планов образовательных организаций по подготовке к новому учебному году</t>
  </si>
  <si>
    <t>Задача: Обеспечение доступности муниципальных образовательных организаций для детей с ограниченными возможностями здоровья и детей-инвалидов для получения образовательных услуг</t>
  </si>
  <si>
    <t xml:space="preserve">Показатель 2. Количество муниципальных образовательных организаций, участвующих в мониторинге, рейтинге </t>
  </si>
  <si>
    <t xml:space="preserve">Показатель 1. Доля детей с ограниченными возможностями здоровья  и детей-инвалидов, посещающих общеобразовательные организации, которым созданы условия для получения качественного общего образования </t>
  </si>
  <si>
    <t>Показатель 2. Доля детей с ограниченными возможностями здоровья  и детей-инвалидов, получающих инклюзивное образование в общеобразовательных организациях от общего числа учащихся</t>
  </si>
  <si>
    <t>Задача: Повышение уровня квалификации педагогических работников, занятых в обучении детей с ограниченными возможностями здоровья, детей-инвалидов</t>
  </si>
  <si>
    <t>Показатель 1. Доля  педагогических работников, прошедших повышение квалификации и (или) переподготовку  по обучению  детей с ограниченными возможностями здоровья и детей-инвалидов</t>
  </si>
  <si>
    <t>Показатель 2. Средний размер затрат на повышение квалификации и (или)  переподготовку педагогических работников по обучению  детей с ограниченными возможностями здоровья и детей-инвалидов в расчете на 1 слушателя в год</t>
  </si>
  <si>
    <t>Показатель 1. Количество педагогов, прошедших курсовую переподготовку</t>
  </si>
  <si>
    <t>Показатель 2. Количество специалистов, прошедших курсовую  подготовку  по обучению  детей с ограниченными возможностями здоровья и детей-инвалидов</t>
  </si>
  <si>
    <t>Задача: Совершенствование эффективного механизма взаимодействия системы профориентации детей и молодежи с предприятиями судостроительного кластера Северодвинска</t>
  </si>
  <si>
    <t>Показатель 7. Количество часов аренды крытого хоккейного корта с искусственным льдом</t>
  </si>
  <si>
    <t>Задача: Строительство и капитальный ремонт объектов инфраструктуры  системы образования Северодвинска</t>
  </si>
  <si>
    <t>Показатель 2.Среднегодовой  контингент обучающихся муниципальных образовательных организаций, охваченных дополнительными общеразвивающими программами социально-педагогической направленности, проводимыми МБОУ  ЦППМСП</t>
  </si>
  <si>
    <t>Показатель 1.  Расходы за счет средств местного бюджета на муниципальную компенсацию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образования, в расчете на одного воспитанника</t>
  </si>
  <si>
    <t xml:space="preserve">единиц </t>
  </si>
  <si>
    <t>Мероприятие 2.02. Проведение мероприятий, направленных на повышение уровня благоустройства территорий муниципальных образовательных организаций</t>
  </si>
  <si>
    <r>
      <t>Показатель 2. Доля объектов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муниципальных образовательных организаций, в которых осуществляется передача сигнала о пожаре на пульт подразделения, ответственного за их противопожарную безопасность</t>
    </r>
  </si>
  <si>
    <t>Административное мероприятие 3.01.  Разработка и реализация плана мероприятий по исполнению предписаний ОНД  г. Северодвинска УНД Главного управления МЧС России по Архангельской области</t>
  </si>
  <si>
    <t>Показатель 2. Количество объектов, в которых осуществляется передача сигнала на пульт подразделения, ответственного за их противопожарную безопасность</t>
  </si>
  <si>
    <t>Показатель 2.Количество лабораторий технического творчества и естественных наук, оснащенных современным оборудованием</t>
  </si>
  <si>
    <t>Административное мероприятие 4.01. Разработка и реализация плана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</si>
  <si>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t>Мероприятие 4.02. Проведение мероприятий, направленных на повышение защищенности территории и зданий муниципальных образовательных организаций</t>
  </si>
  <si>
    <t>Административное мероприятие 5.01.  Разработка и реализация плана мероприятий по подготовке муниципальных образовательных организаций к новому учебному году</t>
  </si>
  <si>
    <t>Мероприятие 5.02. Проведение мероприятий, направленных на обеспечение безопасных условий и охраны труда в муниципальных образовательных организациях</t>
  </si>
  <si>
    <t>Административное мероприятие 1.01. Разработка нормативных правовых актов по вопросам реализации инклюзивного образования</t>
  </si>
  <si>
    <t>Административное мероприятие 2.01. Разработка и утверждение графика повышения квалификации и (или) переподготовки педагогических работников  по вопросам реализации инклюзивного образования</t>
  </si>
  <si>
    <t>Мероприятие 2.02. Проведение мероприятий, направленных на повышение квалификации и (или) переподготовки педагогических работников  по вопросам реализации инклюзивного образования</t>
  </si>
  <si>
    <t>Административное мероприятие  1.01. Разработка и внедрение нормативных правовых актов по вопросам осуществления инновационной деятельности в сфере образования Северодвинска</t>
  </si>
  <si>
    <t>Мероприятие 1.02. Проведение мероприятий, направленных на развитие инновационной деятельности в сфере образования Северодвинска</t>
  </si>
  <si>
    <t>Административное мероприятие  2.01. Разработка и внедрение нормативных правовых актов по вопросам информационной открытости в сфере образования Северодвинска</t>
  </si>
  <si>
    <t>Мероприятие 2.02. Проведение мероприятий, направленных на развитие информационной образовательной среды</t>
  </si>
  <si>
    <t>Мероприятие 3.03. Компенсация расходов на оплату стоимости проезда и провоза багажа к месту использования отпуска и обратно для лиц, работающих в муниципальных организациях сферы образования, финансируемых из местного бюджета, и членов их семей</t>
  </si>
  <si>
    <t>Административное мероприятие 4.01.           Разработка и внедрение нормативных правовых актов по вопросам независимой системы оценки качества работы в сфере образования Северодвинска</t>
  </si>
  <si>
    <t>Мероприятие 4.02. Приобретение  оборудования  и расходных материалов для технического обеспечения деятельности по формированию системы независимой оценки качества образования</t>
  </si>
  <si>
    <t>Административное мероприятие 2.02.          Подготовка (переподготовка) специалистов в сфере реализации программы</t>
  </si>
  <si>
    <t>Административное мероприятие 2.03.          Проведение организационно-методических мероприятий (семинаров, совещаний) с руководителями муниципальных образовательных организаций по вопросам повышения эффективности деятельности организаций и качества оказываемых услуг</t>
  </si>
  <si>
    <t>Показатель 2. Количество обучающихся образовательных организаций, принявших участие в  выставках по судомоделированию</t>
  </si>
  <si>
    <t>Показатель 1. Количество муниципальных туров предметных олимпиад, конкурсов, проводимых ежегодно</t>
  </si>
  <si>
    <t>Показатель 2. Количество образовательных организаций, принявших участие в мероприятиях по выявлению и поддержке одаренных (талантливых) детей  ежегодно</t>
  </si>
  <si>
    <t>Показатель 2. Доля образовательных организаций, принимающих участие в муниципальных, областных и всероссийских конкурсах ежегодно</t>
  </si>
  <si>
    <t>Показатель 1. Количество организаций, которые используют методические рекомендации ежегодно</t>
  </si>
  <si>
    <t>Показатель 2. Выполнение плана мероприятий по организации профориентации детей и молодежи для кадрового обеспечения судостроительного кластера ежегодно</t>
  </si>
  <si>
    <t>Показатель 1. Выполнение плана мероприятий по организации воспитания и социализации обучающихся ежегодно</t>
  </si>
  <si>
    <t>Показатель 2. Количество воспитательных мероприятий для обучающихся образовательных организаций, проводимых на муниципальном уровне ежегодно</t>
  </si>
  <si>
    <t>Показатель 2. Количество муниципальных общеобразовательных организаций, пополнивших основные средства с целью улучшения качества предоставления  муниципальных услуг ежегодно</t>
  </si>
  <si>
    <t>Показатель 1. Количество общеобразовательных организаций, осуществляющих организацию питания детей из малообеспеченных семей ежегодно</t>
  </si>
  <si>
    <t>Показатель 3. Количество дошкольных образовательных организаций, оснащенных компьютерной техникой, медицинским оборудованием ежегодно</t>
  </si>
  <si>
    <t xml:space="preserve">Показатель 1. Количество дошкольных образовательных организаций, оснащенных детской мебелью, технологическим оборудованием пищеблоков, постирочных </t>
  </si>
  <si>
    <t>Показатель 1. Доля муниципальных образовательных организаций, охваченных психолого-педагогической, медицинской и социальной помощью участникам образовательного процесса ежегодно</t>
  </si>
  <si>
    <t>Показатель 2. Расходы областного бюджета на софинансирование мероприятий по проведению оздоровительной кампании детей на 1 ребенка ежегодно</t>
  </si>
  <si>
    <t>Показатель 1. Доля детей, отдохнувших в детских оздоровительных лагерях с дневным пребыванием, организованных на базе муниципальных образовательных организаций ежегодно</t>
  </si>
  <si>
    <t>Показатель 2. Количество расходных материалов, оборудования для образовательного процесса,  приобретенного на оказание психолого-педагогического сопровождения родителей, чьи дети не посещают дошкольное учреждение</t>
  </si>
  <si>
    <t>Показатель 2. Количество образовательных организаций, принявших участие в конкурсе программно-методических материалов  по организации профориентационной работы, направленной на знакомство с судостроительной отраслью</t>
  </si>
  <si>
    <t>Показатель 2. Охват детей организованными формами  отдыха, оздоровления и занятости в каникулярный период</t>
  </si>
  <si>
    <t>Показатель 2.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реконструкции и капитальному ремонту</t>
  </si>
  <si>
    <t>Показатель 1.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ремонту</t>
  </si>
  <si>
    <t>Показатель 1. Количество распоряжений  Управления образования Администрации Северодвинска об утверждении перечня муниципальных образовательных организаций, территории которых подлежат благоустройству</t>
  </si>
  <si>
    <t>рублей</t>
  </si>
  <si>
    <t>Показатель 4. Количество муниципальных образовательных организаций, реализующих программы дошкольного образования, пополнивших основные средства с целью улучшения качества предоставления муниципальных услуг</t>
  </si>
  <si>
    <t xml:space="preserve">рублей </t>
  </si>
  <si>
    <t>Показатель 1. Количество обучающихся и воспитанников, которым оказана психолого-педагогическая, медицинская и социальная помощь ежегодно</t>
  </si>
  <si>
    <t>Показатель 5. Количество объектов муниципальных образовательных организаций, оснащенных мобильными металлодетекторами</t>
  </si>
  <si>
    <t xml:space="preserve">Административное мероприятие 3.01.                   Формирование и утверждение муниципальных заданий муниципальным образовательным организациям дополнительного образования </t>
  </si>
  <si>
    <t>Административное мероприятие 8.01. Разработка нормативных правовых актов по вопросам организации отдыха, оздоровления и занятости детей в каникулярный период</t>
  </si>
  <si>
    <t>Показатель 1. Количество распоряжений Управления образования Администрации Северодвинска об утверждении перечня объектов муниципальных образовательных организаций, подлежащих строительству</t>
  </si>
  <si>
    <t>Административное мероприятие 2.01. Постановка объектов муниципальных образовательных организаций на реконструкцию и капитальный ремонт. Утверждение перечня объектов муниципальных образовательных организаций, подлежащих реконструкции и капитальному ремонту</t>
  </si>
  <si>
    <t>Мероприятие 3.03. Проведение капитального и текущего ремонтов спортивных сооружений муниципальных образовательных организаций</t>
  </si>
  <si>
    <t>Мероприятие 1.03. Обеспечение содержания отдельных зданий и сооружений муниципальных образовательных организаций,  в которых временно не оказываются муниципальные услуги</t>
  </si>
  <si>
    <t>Административное мероприятие 2.01. Утверждение перечня муниципальных образовательных организаций, территории которых подлежат благоустройству</t>
  </si>
  <si>
    <t>Мероприятие 3.03. Проведение мероприятий, направленных на обеспечение пожарной безопасности муниципальных образовательных организаций в соответствии с нормативами и требованиями правил пожарной безопасности</t>
  </si>
  <si>
    <t>Мероприятие 1.02. Проведение мероприятий, направленных на обеспечение совместного обучения инвалидов и лиц, не имеющих нарушений в развитии</t>
  </si>
  <si>
    <t>Административное мероприятие  3.01. Организация деятельности школы молодого педагога</t>
  </si>
  <si>
    <t>Мероприятие 3.02. Предоставление компенсации расходов на оплату жилых помещений, отопления и освещения отдельным категориям работников муниципальных образовательных организаций в сельской местности</t>
  </si>
  <si>
    <t>кв.м,                       не менее</t>
  </si>
  <si>
    <t>Показатель 1. Количество мероприятий, направленных на развитие информационной образовательной среды</t>
  </si>
  <si>
    <t>Показатель 2. Количество компьютерного оборудования, приобретенного для технического сопровождения и информационного наполнения  портала Управления образования Администрации Северодвинска</t>
  </si>
  <si>
    <t xml:space="preserve">%,                     не менее </t>
  </si>
  <si>
    <t>единиц,                  не менее</t>
  </si>
  <si>
    <t>Показатель 1. Количество разработанных распоряжений Управления образования Администрации Северодвинска</t>
  </si>
  <si>
    <t xml:space="preserve">Показатель 2. Количество организаций дополнительного образования, обеспечивающих совместное обучение инвалидов и лиц, не имеющих нарушений в развитии </t>
  </si>
  <si>
    <t>Показатель 5. Доля общеобразовательных организаций, в которых создана безбарьерная среда для инклюзивного образования детей с ограниченными возможностями здоровья и детей-инвалидов, в общем количестве общеобразовательных организаций</t>
  </si>
  <si>
    <t>Показатель 6. Количество израсходованных литров ГСМ с целью подготовки лыжных трасс для проведения спортивных состязаний</t>
  </si>
  <si>
    <t>Показатель 1. Доля муниципальных образовательных организаций, в которых проведены работы  по строительству объектов инфраструктуры</t>
  </si>
  <si>
    <t>Показатель 2. Количество граждан, обратившихся за предоставлением муниципальных услуг в электронном виде</t>
  </si>
  <si>
    <t>Показатель 2. Объем расходов за счет средств местного бюджета, выделенных общеобразовательным организациям, организациям дополнительного образования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</si>
  <si>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 xml:space="preserve">Показатель 1. Количество педагогических работников, принявших участие в муниципальных этапах конкурсов  педагогического мастерства </t>
  </si>
  <si>
    <t>Показатель 5. Количество обучающихся, вовлеченных  в трудовую, общественно-полезную деятельность ежегодно</t>
  </si>
  <si>
    <t>Показатель 1. Количество научно-исследовательских и научно-практических конференций по тематике судостроительной отрасли, проводимых ежегодно</t>
  </si>
  <si>
    <t>Характеристика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Северодвинска на 2016–2021 годы»</t>
  </si>
  <si>
    <t>Подпрограмма «Развитие дошкольного, общего и дополнительного образования детей»</t>
  </si>
  <si>
    <t>Показатель 2. Доля расходов  местного бюджета на организацию и предоставление общедоступного и бесплатного дошкольного образования в объеме расходов местного бюджета на отрасль «Образование»</t>
  </si>
  <si>
    <t>Показатель 5. Доля расходов  местного бюджета на организацию и предоставление общедоступного и бесплатного дошкольного образования в структурных подразделениях общеобразовательных организаций в объеме расходов местного бюджета на отрасль «Образование»</t>
  </si>
  <si>
    <t>Показатель 3. Доля расходов  местного бюджета на организацию предоставления общедоступного и бесплатного начального общего, основного общего, среднего общего образования в объеме расходов местного бюджета на отрасль «Образование»</t>
  </si>
  <si>
    <t>Показатель 2. Доля расходов  местного бюджета на организацию предоставления дополнительного образования детей в объеме расходов местного бюджета на отрасль «Образование»</t>
  </si>
  <si>
    <t>Показатель 1. Доля расходов  местного бюджета на организацию воспитания и социализации обучающихся в объеме расходов местного бюджета на отрасль «Образование»</t>
  </si>
  <si>
    <t>Показатель 2. Доля образовательных организаций, принявших участие в конкурсе социальных проектов «Дети Северодвинска»</t>
  </si>
  <si>
    <t>Показатель 3. Количество обучающихся образовательных организаций, принявших участие в проекте  «Инженеры будущего»</t>
  </si>
  <si>
    <t>Показатель 3. Количество выездов команды МБОУ ДО «ЦЮНТТ» на российские соревнования по судомоделированию</t>
  </si>
  <si>
    <t>Показатель 4. Количество обучающихся, освоивших программу  «3D-моделирование»</t>
  </si>
  <si>
    <t>Показатель 1. Количество мероприятий, проведенных на базе оборудованных кабинетов профориентации МБОУ «СОШ № 9», МБОУ ДО «Детский морской центр «Североморец»</t>
  </si>
  <si>
    <t>Показатель 2. Количество оборудования, приобретенного для объединений судомоделирования  и радиоконструирования МБОУ ДО «ЦЮНТТ»</t>
  </si>
  <si>
    <t>Показатель 2. Доля расходов  местного бюджета на развитие физической культуры и спорта в муниципальных образовательных организациях в объеме расходов местного бюджета на отрасль  «Образование»</t>
  </si>
  <si>
    <t>Показатель 3. Доля обучающихся муниципальных образовательных организаций, выполнивших нормативы Всероссийского физкультурно-спортивного комплекса «Готов к труду и обороне» (ГТО), в общей численности обучающихся муниципальных образовательных организаций, принявших участие в выполнении нормативов ВФСК ГТО</t>
  </si>
  <si>
    <t>Показатель 4. Количество обучающихся, участвующих в муниципальной конференции старшеклассников «Юность Северодвинска»</t>
  </si>
  <si>
    <t>Показатель 3. Доля расходов  местного бюджета на организацию отдыха, оздоровления и занятости детей в каникулярный период в объеме расходов местного бюджета на отрасль «Образование»</t>
  </si>
  <si>
    <t>Показатель 2. Доля расходов  местного бюджета на развитие системы психолого-педагогической, медицинской и социальной помощи в объеме расходов местного бюджета на отрасль «Образование»</t>
  </si>
  <si>
    <t>Подпрограмма «Развитие инфраструктуры муниципальной системы образования Северодвинска»</t>
  </si>
  <si>
    <t>Показатель 7. Средняя численность работников образовательных организаций, реализующих дошкольное образование, которым предоставлена  доплата  до минимального размера, установленного законодательством</t>
  </si>
  <si>
    <t>Показатель 6. Средняя численность работников общеобразовательных организаций, которым предоставлена  доплата  до минимального размера, установленного законодательством</t>
  </si>
  <si>
    <t>Показатель 4. Средняя численность работников организаций дополнительного образования, которым предоставлена  доплата  до минимального размера, установленного законодательством</t>
  </si>
  <si>
    <t>Показатель 5. Средняя численность работников организаций дополнительного образования, которым предоставлена  доплата  до минимального размера, установленного законодательством</t>
  </si>
  <si>
    <t>Подпрограмма «Формирование комфортной и безопасной образовательной среды»</t>
  </si>
  <si>
    <t>Показатель 1.  Доля расходов  местного бюджета на содержание отдельных зданий и сооружений муниципальных образовательных организаций,         в которых временно не оказываются муниципальные услуги, в объеме расходов местного бюджета на отрасль «Образование»</t>
  </si>
  <si>
    <t>Подпрограмма «Безбарьерная среда муниципальных образовательных учреждений Северодвинска»</t>
  </si>
  <si>
    <t>Подпрограмма «Совершенствование системы предоставления услуг в сфере образования Северодвинска»</t>
  </si>
  <si>
    <t>Показатель 1. Количество заседаний общественного Совета по развитию образования при Администрации Северодвинска по вопросам управления и развития отрасли «Образование»</t>
  </si>
  <si>
    <t>Муниципальная программа «Развитие образования Северодвинска на 2016–2021 годы»</t>
  </si>
  <si>
    <t>Показатель 6. Среднемесячная заработная плата педагогических работников муниципальных образовательных организаций, реализующих образовательную программу дошкольного образования</t>
  </si>
  <si>
    <t>Показатель 1. Доля выпускников муниципальных общеобразовательных организаций, сдавших Единый государственный экзамен по русскому языку, от общей численности выпускников общеобразовательных организаций, участвовавших в Едином государственном экзамене по русскому языку</t>
  </si>
  <si>
    <t>Показатель 2. Доля выпускников муниципальных общеобразовательных организаций, сдавших Единый государственный экзамен по математике, от общей численности выпускников общеобразовательных организаций, участвовавших в Едином государственном экзамене по математике</t>
  </si>
  <si>
    <t>Показатель 5. Среднемесячная заработная плата педагогических работников муниципальных общеобразовательных организаций в муниципальном образовании</t>
  </si>
  <si>
    <t>Показатель 2.Количество общеобразовательных организаций, осуществляющих организацию питания обучающихся, осваивающих адаптированные основные общеобразовательные программы для обучающихся с ограниченными возможностями здоровья ежегодно</t>
  </si>
  <si>
    <t>Показатель 3. Численность обучающихся, обеспеченных бесплатным питанием</t>
  </si>
  <si>
    <t>Показатель 3. Количество общеобразовательных организаций, оснащенных техническими средствами обучения, современным программным обеспечением</t>
  </si>
  <si>
    <t xml:space="preserve">Показатель 1. Доля обучающихся по дополнительным общеразвивающим программам, ориентированным на применение высокотехнологичного оборудования и современных технологий </t>
  </si>
  <si>
    <t>Административное мероприятие 6.01.       Разработка и внедрение нормативных правовых актов по вопросам развития физической культуры и спорта в сфере образования Северодвинска</t>
  </si>
  <si>
    <t>Показатель 5. Количество часов аренды легкоатлетических дорожек, прыжковой ямы, лыжной трассы, беговой трассы стадиона «Север» для проведения спортивных состязаний, нежилого помещения МАСОУ «Строитель» для проведения занятий по боксу</t>
  </si>
  <si>
    <t>Показатель 4. Количество обучающихся муниципальных образовательных организаций, охваченных дополнительными общеразвивающими программами социально-педагогической направленности</t>
  </si>
  <si>
    <r>
      <t xml:space="preserve">Административное мероприятие 1.01. </t>
    </r>
    <r>
      <rPr>
        <sz val="10"/>
        <rFont val="Times New Roman"/>
        <family val="1"/>
      </rPr>
      <t xml:space="preserve">Формирование и утверждение нормативных затрат МКУ ЦОФООС на выполнение муниципальных функций </t>
    </r>
  </si>
  <si>
    <t xml:space="preserve">Показатель 1. Доля учреждений, для которых  утверждены нормативные затраты на выполнение муниципальных функций </t>
  </si>
  <si>
    <t>Показатель 3.Численность работников образовательных организаций, реализующих дошкольное образование,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</si>
  <si>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t>1. Обеспечение деятельности ответственного исполнителя муниципальной программы –  муниципального казенного учреждения «Управление образования Администрации Северодвинска»</t>
  </si>
  <si>
    <t>Цель: повышение доступности, качества и эффективности образования в Северодвинске с учетом запросов личности, общества и государства</t>
  </si>
  <si>
    <t>Показатель 2. Количество соревнований по культивируемым видам спорта, в которых приняли участие муниципальные организации  дополнительного образования</t>
  </si>
  <si>
    <t>Показатель 1. Количество соревнований по культивируемым  видам спорта, проведенных на базе муниципальных организаций  дополнительного образования</t>
  </si>
  <si>
    <t>Показатель 3. Количество реализуемых  ежегодно муниципальных воспитательных проектов, социально-педагогических программ</t>
  </si>
  <si>
    <t>Показатель 4.  Количество военно-патриотических клубов, функционирующих на базе образовательных организаций ежегодно</t>
  </si>
  <si>
    <t>Показатель 1. Количество образовательных организаций, спортивные залы и площадки которых оснащены спортивным инвентарем</t>
  </si>
  <si>
    <t xml:space="preserve">Показатель 2. Количество образовательных организаций, оснащенных современным спортивно-технологическим оборудованием </t>
  </si>
  <si>
    <t>Задача: Развитие инновационной составляющей образовательных услуг</t>
  </si>
  <si>
    <t>Показатель 1. Количество сформированных рейтингов инновационного опыта муниципальных образовательных организаций</t>
  </si>
  <si>
    <t>Показатель 2. Доля образовательных организаций, участвующих в  рейтинге инновационного опыта муниципальных образовательных организаций</t>
  </si>
  <si>
    <t>Показатель 2. Количество заседаний городских профессиональных объединений, ресурсных центров, творческих групп, направленных на реализацию инновационной деятельности</t>
  </si>
  <si>
    <t>Показатель 1. Количество педагогических работников образовательных организаций, получивших поощрение за инновационную деятельность</t>
  </si>
  <si>
    <t xml:space="preserve">Приложение 4                                                                                                                                                                            к муниципальной программе «Развитие образования Северодвинска  на 2016–2021 годы»,  утвержденной постановлением Администрации Северодвинска от 09.03.2016 № 58-па                                                                     (в ред. от                 №               )                                                                                                                                                </t>
  </si>
  <si>
    <t>Показатель 1. Количество нормативных правовых актов по вопросам организации отдыха, оздоровления и занятости детей в каникулярный период</t>
  </si>
  <si>
    <t>Показатель 3.  Расходы за счет средств областного бюджета на реализацию образовательных программ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образования, в расчете на одного воспитанника</t>
  </si>
  <si>
    <t>Показатель 4. Среднегодовой контингент детей, получающих услугу по присмотру и уходу в  структурных подразделениях общеобразовательных организаций, реализующих образовательную программу дошкольного образования</t>
  </si>
  <si>
    <t>Показатель 1. Количество первых детей в семье, на которых выплачивается из областного бюджета 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</si>
  <si>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2. Количество вторых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</si>
  <si>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3. Количество третьих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</si>
  <si>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4. Расходы за счет средств областного бюджета на реализацию образовательных программ в муниципальных общеобразовательных организациях в расчете на одного обучающегося</t>
  </si>
  <si>
    <t>Показатель 3. Количество детей, их родителей (законных представителей), педагогических работников, охваченных коррекционно-развивающей, компенсирующей и логопедической помощью, психолого-медико-педагогическим обследованием, психолого-педагогическим консультированием</t>
  </si>
  <si>
    <t>Показатель 1. Количество мероприятий, проведенных в рамках организации профориентации детей и молодежи для кадрового обеспечения судостроительного кластера</t>
  </si>
  <si>
    <t>Показатель 3. Количество плоскостных спортивных сооружений, прошедших капитальный и текущий ремонты</t>
  </si>
  <si>
    <t>Показатель 2. Количество спортивных залов, прошедших капитальный и текущий ремонты</t>
  </si>
  <si>
    <t>Показатель 2. Количество игровых площадок, прошедших капитальный и текущий ремонты</t>
  </si>
  <si>
    <t xml:space="preserve">Показатель 1. Количество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</si>
  <si>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>Показатель 1. Расходы за счет средств  областного бюджета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</si>
  <si>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Показатель 2. Расходы за счет средств  областного бюджета на предоставление мер социальной поддержки квалифицированных специалистов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</si>
  <si>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 xml:space="preserve">Значение </t>
  </si>
  <si>
    <r>
      <t xml:space="preserve">Ответственный исполнитель                                 </t>
    </r>
    <r>
      <rPr>
        <u val="single"/>
        <sz val="12"/>
        <rFont val="Times New Roman"/>
        <family val="1"/>
      </rPr>
      <t>Управление образования Администрации Северодвинска</t>
    </r>
  </si>
  <si>
    <t>Показатель 3. Количество посещений, обращений граждан на портале Управления образования Администрации Северодвинска</t>
  </si>
  <si>
    <t>Показатель 2. Количество нормативных правовых актов по вопросам функционирования в сфере образования Северодвинска</t>
  </si>
  <si>
    <t>Показатель 1. Объем расходов за счет средств местного бюджета, выделенных образовательным организациям, реализующим дошкольное образование,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</si>
  <si>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1. Количество разработанных нормативных правовых актов по вопросам реализации инклюзивного образования</t>
  </si>
  <si>
    <t>Показатель 2. Количество конференций, смотров и конкурсов инновационных программ и проектов, в которых приняли участие работники образовательной отрасли образования</t>
  </si>
  <si>
    <t>Показатель 3. Количество проведенных мероприятий с участием педагогической общественности</t>
  </si>
  <si>
    <t>Задача: Развитие информационного поля образовательной системы</t>
  </si>
  <si>
    <t>Показатель 1. Доля образовательных  организаций дошкольного, общего  образования, которые оказывают услуги в электронном виде</t>
  </si>
  <si>
    <t>Показатель 1. Количество посещений, обращений граждан на портале Управления образования Администрации Северодвинска</t>
  </si>
  <si>
    <t>Задача: Стимулирование творческой активности и профессионального развития педагогических работников</t>
  </si>
  <si>
    <t>Показатель 1. Доля руководителей образовательных организаций, которые прошли курсы повышения квалификации и/или профессиональную переподготовку в соответствии с ФГОС, от общего количества руководителей образовательных организаций</t>
  </si>
  <si>
    <t>Показатель 2. Доля учителей, ведущих учебные часы в начальной школе, которые прошли курсы повышения квалификации и/или профессиональную переподготовку в соответствии с ФГОС НОО, от общего количества учителей, ведущих учебные часы в начальной школе</t>
  </si>
  <si>
    <t>Показатель 3. Доля учителей, ведущих учебные часы в основной школе, которые прошли курсы повышения квалификации и/или профессиональную переподготовку в соответствии с ФГОС ООО, от общего количества учителей, ведущих учебные часы в основной школе</t>
  </si>
  <si>
    <t>Показатель 4. Доля воспитателей дошкольных образовательных организаций, которые прошли курсы повышения квалификации и/или профессиональную переподготовку в соответствии с ФГОС, в общей численности воспитателей</t>
  </si>
  <si>
    <t>тыс.руб</t>
  </si>
  <si>
    <t>Показатель 2. Численность педагогов образовательных организаций, принявших участие в научно-практических конференциях, педагогических чтениях, фестивалях, форумах различного уровня</t>
  </si>
  <si>
    <t>Показатель 3. Количество участников руководящих и педагогических работников ежегодной муниципальной педагогической конференции</t>
  </si>
  <si>
    <t xml:space="preserve">Показатель 3. Психиатрическое освидетельствование работников муниципальных образовательных организаций </t>
  </si>
  <si>
    <t>Задача: Формирование муниципальной системы независимой оценки качества образования</t>
  </si>
  <si>
    <t>Показатель 1. Доля обучающихся, охваченных мониторинговыми исследованиями образовательных достижений</t>
  </si>
  <si>
    <t>Показатель 2.  Доля образовательных организаций, участвующих в  независимой оценке качества работы муниципальных образовательных организаций</t>
  </si>
  <si>
    <t>Показатель 1. Количество разработанных нормативных правовых актов об организации независимой системы оценки качества муниципальных образовательных организаций</t>
  </si>
  <si>
    <t>Показатель 1. Количество  оборудования,  приобретенного  для технического обеспечения деятельности по формированию системы независимой оценки качества образования</t>
  </si>
  <si>
    <t>Показатель 2. Количество расходных материалов, приобретенных  для технического обеспечения деятельности по формированию системы независимой оценки качества образования</t>
  </si>
  <si>
    <t xml:space="preserve">Обеспечивающая подпрограмма </t>
  </si>
  <si>
    <t>Показатель 1. Количество нормативных правовых актов, разработанных в сфере образования, обусловленных требованиями времени и изменениями законодательства</t>
  </si>
  <si>
    <t>Показатель 1. Количество муниципальных служащих, включенных в план мероприятий по повышению квалификации (переподготовке)</t>
  </si>
  <si>
    <t>Показатель 1. Количество проведенных организационно-методических мероприятий</t>
  </si>
  <si>
    <t>Показатель 3. Среднемесячная заработная плата педагогических работников муниципальных учреждений дополнительного образования</t>
  </si>
  <si>
    <t>руб.</t>
  </si>
  <si>
    <t>Областной  бюджет</t>
  </si>
  <si>
    <t>чел./час</t>
  </si>
  <si>
    <t>Показатель 1. Количество молодых педагогов общеобразовательных организаций со стажем до трех лет, принимающих участие в работе школы молодого педагога</t>
  </si>
  <si>
    <t>Показатель 1. Количество рабочих мест в муниципальных образовательных организациях, прошедших специальную оценку условий труда</t>
  </si>
  <si>
    <t xml:space="preserve">Показатель 2. Количество утилизированных люминесцентных (энергосберегающих) ламп </t>
  </si>
  <si>
    <t>Годы реализации муниципальной программы</t>
  </si>
  <si>
    <t>Показатель 3. Количество построенных сараев для хозяйственного инвентаря</t>
  </si>
  <si>
    <t>Административное мероприятие 1.01. Формирование и утверждение муниципальных заданий муниципальным дошкольным образовательным организациям</t>
  </si>
  <si>
    <r>
      <t xml:space="preserve">Административное мероприятие 2.01. </t>
    </r>
    <r>
      <rPr>
        <sz val="10"/>
        <rFont val="Times New Roman"/>
        <family val="1"/>
      </rPr>
      <t>Формирование и утверждение муниципальных заданий муниципальным общеобразовательным организациям</t>
    </r>
  </si>
  <si>
    <r>
      <t xml:space="preserve">Мероприятие 3.02. </t>
    </r>
    <r>
      <rPr>
        <sz val="10"/>
        <rFont val="Times New Roman"/>
        <family val="1"/>
      </rPr>
      <t>Организация предоставления дополнительного образования</t>
    </r>
  </si>
  <si>
    <t>Административное мероприятие 4.01.        Разработка и реализация плана мероприятий по организации воспитания и социализации обучающихся</t>
  </si>
  <si>
    <t>Мероприятие 4.02. Проведение мероприятий, направленных на развитие воспитания и социализацию обучающихся</t>
  </si>
  <si>
    <t>Административное мероприятие  5.01. Разработка и реализация плана мероприятий по организации профориентации детей и молодежи для кадрового обеспечения судостроительного кластера</t>
  </si>
  <si>
    <t>Мероприятие 5.02. Участие муниципальных общеобразовательных организаций в  мероприятиях, направленных на профориентацию детей и молодежи для кадрового обеспечения судостроительного кластера</t>
  </si>
  <si>
    <t>Мероприятие 5.03. Проведение муниципальными организациями дополнительного образования мероприятий, направленных на профориентацию детей и молодежи для кадрового обеспечения судостроительного кластера</t>
  </si>
  <si>
    <t>Мероприятие 6.02. Проведение спортивных состязаний среди обучающихся и воспитанников, направленных на выявление и развитие способностей и талантов детей</t>
  </si>
  <si>
    <t>Мероприятие 6.03. Проведение и участие в соревнованиях по культивируемым видам спорта в муниципальных организациях  дополнительного образования</t>
  </si>
  <si>
    <t>Мероприятие 6.04. Проведение мероприятий, направленных на оснащение муниципальных образовательных организаций современным спортивно-технологическим оборудованием, сертификацию спортивных объектов</t>
  </si>
  <si>
    <t xml:space="preserve">Административное мероприятие  7.01. Разработка  и реализация плана мероприятий по выявлению и поддержке одаренных (талантливых) детей </t>
  </si>
  <si>
    <t>Мероприятие 7.02. Проведение мероприятий, направленных на выявление и развитие у обучающихся творческих способностей и интереса к научной (научно-исследовательской) деятельности</t>
  </si>
  <si>
    <t>Мероприятие 8.02. Проведение комплекса мероприятий, направленных на организацию отдыха, оздоровления и занятости детей в каникулярный период</t>
  </si>
  <si>
    <t>Административное мероприятие  9.01. Формирование и утверждение муниципального задания МБОУ  ЦППМСП</t>
  </si>
  <si>
    <t>Мероприятие 9.02. Проведение мероприятий, направленных на оказание  психолого-педагогической, медицинской и социальной помощи обучающимся и воспитанникам</t>
  </si>
  <si>
    <t>Административное мероприятие 1.01. Утверждение перечня объектов муниципальных образовательных организаций, подлежащих строительству</t>
  </si>
  <si>
    <t>Мероприятие 1.02. Строительство спортивных сооружений</t>
  </si>
  <si>
    <t>Мероприятие 1.03. Строительство объектов для муниципальных образовательных организаций, реализующих программы дошкольного образования</t>
  </si>
  <si>
    <t>Мероприятие 2.02. Проведение мероприятий, направленных на выполнение подготовительных работ по реконструкции, капитальному ремонту объектов муниципальных образовательных организаций</t>
  </si>
  <si>
    <t>Мероприятие 2.03. Проведение реконструкции и капитального ремонта зданий муниципальных образовательных организаций</t>
  </si>
  <si>
    <t>Административное мероприятие 3.01. Утверждение перечня зданий (сооружений) и систем жизнеобеспечения муниципальных образовательных организаций, подлежащих ремонту</t>
  </si>
  <si>
    <t>Мероприятие 3.02. Проведение капитального и текущего ремонтов ограждающих конструкций объектов муниципальных образовательных организаций</t>
  </si>
  <si>
    <t xml:space="preserve">Мероприятие 3.04. Проведение капитального и текущего ремонтов сооружений муниципальных образовательных организаций, реализующих программы дошкольного образования </t>
  </si>
  <si>
    <t>Мероприятие 3.05. Выполнение работ по ремонту электротехнических систем и систем вентиляции на объектах муниципальных образовательных организаций</t>
  </si>
  <si>
    <t>Мероприятие 3.06. Выполнение работ по ремонту и реконструкции сантехнических систем на объектах муниципальных образовательных организаций</t>
  </si>
  <si>
    <t>Мероприятие 3.07. Выполнение работ по комплексному ремонту помещений зданий муниципальных образовательных организаций</t>
  </si>
  <si>
    <t>Показатель 1. Доля муниципальных образовательных организаций, в которых проведены мероприятия по подготовке к новому учебному году</t>
  </si>
  <si>
    <t>Мероприятие 3.02. Обеспечение дублирования сигнала о возникновении пожара на пульт подразделения пожарной охраны</t>
  </si>
  <si>
    <t xml:space="preserve">Показатель 2. Доля рабочих мест в муниципальных образовательных организациях, требующих проведения специальной оценки условий труда, в общем количестве рабочих мест </t>
  </si>
  <si>
    <t>Показатель 1. Количество образовательных организаций, принявших участие в конкурсе по поиску в Интернете</t>
  </si>
  <si>
    <t>Показатель 2. Средняя наполняемость классов (без учета классов для детей с ограниченными возможностями здоровья) ежегодно</t>
  </si>
  <si>
    <t xml:space="preserve">Аналитический код </t>
  </si>
  <si>
    <t xml:space="preserve">Источник финансирования </t>
  </si>
  <si>
    <t>Цели программы, задачи  подпрограммы, мероприятия подпрограммы, административные мероприятия  и их показатели</t>
  </si>
  <si>
    <t>Единица измерения</t>
  </si>
  <si>
    <t>Год достижения</t>
  </si>
  <si>
    <t>Программа</t>
  </si>
  <si>
    <t xml:space="preserve">  Цель программы</t>
  </si>
  <si>
    <t>Подпрограмма</t>
  </si>
  <si>
    <t>Задача подпрограммы</t>
  </si>
  <si>
    <t>Мероприятие
(подпрограммы или административное)</t>
  </si>
  <si>
    <t/>
  </si>
  <si>
    <t>Е</t>
  </si>
  <si>
    <t>тыс. руб.</t>
  </si>
  <si>
    <t>Местный  бюджет</t>
  </si>
  <si>
    <t>Областной бюджет</t>
  </si>
  <si>
    <t>Федеральный бюджет</t>
  </si>
  <si>
    <t>Показатель 1. Доля детей в возрасте от трех до семи  лет, обеспеченных услугами дошкольного образования</t>
  </si>
  <si>
    <t>%</t>
  </si>
  <si>
    <t>Показатель 2. Доля обучающихся, успешно завершивших среднее общее образование</t>
  </si>
  <si>
    <t>Показатель 3. Доля детей, охваченных образовательными программами дополнительного образования детей, в общей  численности детей и молодежи от 5 до 18 лет</t>
  </si>
  <si>
    <t>Показатель 4. Доля обучающихся, которым предоставлены все основные виды современных условий обучения, в общей численности обучающихся по основным программам общего образования</t>
  </si>
  <si>
    <t>Показатель 6. Доля детей с ограниченными возможностями здоровья в возрасте от 7 до 17 лет, обучающихся в Северодвинске по программам общего образования (в любой форме), от общей численности детей с ограниченными возможностями здоровья в возрасте от 7 до 17 лет</t>
  </si>
  <si>
    <t>Показатель 7. Доля образовательных организаций, которые  представили общественности публичный доклад о результатах финансово-хозяйственной и образовательной деятельности</t>
  </si>
  <si>
    <t>Задача: Предоставление дошкольного образования</t>
  </si>
  <si>
    <t>Показатель 1. Доля детей в возрасте от 0 до 3 лет, получающих услугу дошкольного образования</t>
  </si>
  <si>
    <t>Показатель 2. Доля детей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</si>
  <si>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Показатель 3. Отношение среднемесячной заработной платы педагогических работников муниципальных дошкольных образовательных организаций к средней заработной плате в организациях общего образования в Архангельской области</t>
  </si>
  <si>
    <t>да/нет</t>
  </si>
  <si>
    <t>да</t>
  </si>
  <si>
    <t>Показатель 1. Доля муниципальных дошкольных образовательных организаций, для которых сформировано муниципальное задание на плановый период</t>
  </si>
  <si>
    <t>Показатель 1. Среднегодовой контингент детей в   муниципальных дошкольных образовательных организациях, получающих услугу по присмотру и уходу</t>
  </si>
  <si>
    <t>человек</t>
  </si>
  <si>
    <t>Показатель 1. Среднегодовая  численность детей-инвалидов, детей-сирот и детей, оставшихся без попечения родителей, а также детей с туберкулёзной интоксикацией</t>
  </si>
  <si>
    <t>Показатель 1. Средняя численность работников муниципальных бюджетных и автономных учреждений, которым предоставлена  доплата  до минимального размера, установленного законодательством</t>
  </si>
  <si>
    <t>Показатель 1. Доля дошкольных образовательных организаций, реализующих мероприятия, предусматривающие внедрение вариативных форм предоставления услуг дошкольного образования и услуг по присмотру и уходу за детьми</t>
  </si>
  <si>
    <t>Задача: Предоставление общего образования</t>
  </si>
  <si>
    <t xml:space="preserve">Показатель 3.  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Архангельской области </t>
  </si>
  <si>
    <t>Показатель 1. Доля муниципальных общеобразовательных организаций, для которых сформировано муниципальное задание на плановый период</t>
  </si>
  <si>
    <t>Показатель 3.Численность педагогических работников образовательных учреждений в сельской местности, рабочих поселках (поселках городского типа), пользующихся социальной поддержкой по предоставлению компенсации расходов на оплату жилых помещений, отопления и освещения</t>
  </si>
  <si>
    <t>Показатель 4.Численность работников общеобразовательных организаций,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</si>
  <si>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t>Показатель 5. Численность работников организаций дополнительного образования, и членов их семей, имеющих право на компенсацию расходов на оплату стоимости проезда и провоза багажа к месту использования отпуска и обратно</t>
  </si>
  <si>
    <t>Показатель 1. Среднегодовой контингент обучающихся в муниципальных общеобразовательных организациях</t>
  </si>
  <si>
    <t>единиц</t>
  </si>
  <si>
    <t>Показатель 1. Количество образовательных организаций, пополнивших основные средства в связи с юбилейными мероприятиями, памятными датами</t>
  </si>
  <si>
    <t>Задача: Предоставление  дополнительного образования</t>
  </si>
  <si>
    <t>Показатель 1. Доля детей школьного возраста, имеющих возможность по выбору получать доступные качественные услуги дополнительного образования, в общей  численности детей школьного возраста</t>
  </si>
  <si>
    <t>Показатель 2. Численность детей и молодежи в возрасте от 5 до 18 лет в расчете на 1 педагогического работника организаций дополнительного образования детей</t>
  </si>
  <si>
    <t>Показатель 3. 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Архангельской области</t>
  </si>
  <si>
    <t>Показатель1. Доля муниципальных организаций дополнительного образования, для которых сформировано муниципальное задание на плановый период</t>
  </si>
  <si>
    <t>Показатель 1. Среднегодовой  контингент обучающихся муниципальных образовательных организаций дополнительного образования детей</t>
  </si>
  <si>
    <t>Показатель 1. Количество муниципальных образовательных организаций дополнительного образования, оснащенных основными средствами ежегодно</t>
  </si>
  <si>
    <t>Задача: Организация воспитания и социализации обучающихся</t>
  </si>
  <si>
    <t>Показатель 1. Количество мероприятий по организации воспитания и социализации обучающихся</t>
  </si>
  <si>
    <t>Показатель 1. Количество муниципальных образовательных организаций, получивших субсидию на стимулирование инновационной деятельности</t>
  </si>
  <si>
    <t>Показатель 1. Доля обучающихся образовательных организаций, принимающих участие в инновационных образовательных и социальных проектах в области профориентации молодежи</t>
  </si>
  <si>
    <t xml:space="preserve">Показатель 2. Доля выпускников общеобразовательных организаций, поступивших для обучения по программам среднего профессионального образования </t>
  </si>
  <si>
    <t>Задача: Развитие физической культуры и спорта в муниципальных образовательных организациях</t>
  </si>
  <si>
    <t>Показатель 1. Объем двигательной активности обучающихся в неделю</t>
  </si>
  <si>
    <t>час</t>
  </si>
  <si>
    <t>Показатель 2. Количество разработанных положений о спартакиаде среди обучающихся муниципальных общеобразовательных организаций</t>
  </si>
  <si>
    <t>Показатель 1. Количество обучающихся общеобразовательных организаций, принявших участие в спартакиаде среди обучающихся муниципальных общеобразовательных организаций</t>
  </si>
  <si>
    <t>Показатель 2. Количество проведенных Дней спорта</t>
  </si>
  <si>
    <t>Показатель 3. Количество участников  спартакиады молодежи допризывного возраста общеобразовательных организаций</t>
  </si>
  <si>
    <t>Показатель 4. Количество участников  одноступенчатых соревнований по массовым видам спорта</t>
  </si>
  <si>
    <t>Задача: Выявление и развитие потенциала одаренных детей</t>
  </si>
  <si>
    <t>Показатель 1. Численность обучающихся, принимавших участие во Всероссийской олимпиаде школьников</t>
  </si>
  <si>
    <t xml:space="preserve">Показатель 1. Количество мероприятий по выявлению и поддержке одаренных (талантливых) детей </t>
  </si>
  <si>
    <t>Показатель 2. Количество обучающихся, принявших участие в областных, всероссийских олимпиадах, смотрах, фестивалях</t>
  </si>
  <si>
    <t>Показатель 3. Количество обучающихся в Школе одаренных детей</t>
  </si>
  <si>
    <t>Задача: Организация отдыха, оздоровления и занятости детей в каникулярный период</t>
  </si>
  <si>
    <t>Показатель 1. Количество детских оздоровительных лагерей с дневным пребыванием, организованных на базе муниципальных образовательных организаций</t>
  </si>
  <si>
    <t>Задача: Развитие системы психолого-педагогической, медицинской и социальной помощи</t>
  </si>
  <si>
    <t>Показатель 1. Доля муниципальных образовательных организаций, для которых сформировано муниципальное задание на плановый период</t>
  </si>
  <si>
    <t>Показатель 3.Численность детей, охваченных организованными формами отдыха и оздоровления ежегодно</t>
  </si>
  <si>
    <t>Показатель 2. Коэффициент физического износа основных фондов муниципальных образовательных организаций</t>
  </si>
  <si>
    <t>Показатель 1. Количество построенных плоскостных спортивных сооружений</t>
  </si>
  <si>
    <t>Показатель 2. Площадь построенных плоскостных спортивных сооружений</t>
  </si>
  <si>
    <t>кв.м.</t>
  </si>
  <si>
    <t>Показатель 1. Количество построенных теневых навесов</t>
  </si>
  <si>
    <t>Показатель 2. Площадь построенных теневых навесов</t>
  </si>
  <si>
    <t>Задача: Улучшение технического состояния зданий и сооружений муниципальной системы образования</t>
  </si>
  <si>
    <t>Показатель 1. Коэффициент обновления основных фондов муниципальных образовательных организаций</t>
  </si>
  <si>
    <t>Показатель 2. Доля муниципальных образовательных организаций, в которых проведены работы по подготовке зданий и сооружений к реконструкции, капитальному  ремонту</t>
  </si>
  <si>
    <t>нет</t>
  </si>
  <si>
    <t>Показатель 1. Количество постановлений Администрации Северодвинска о постановке объектов муниципальных образовательных организаций на реконструкцию и капитальный ремонт</t>
  </si>
  <si>
    <t>Показатель 1. Количество объектов, на которых проведено обследование строительных конструкций, инженерные изыскания</t>
  </si>
  <si>
    <t>Показатель 2. Количество проектов, прошедших проверку сметной документации</t>
  </si>
  <si>
    <t>Показатель 1. Количество зданий муниципальных образовательных организаций, прошедших капитальный ремонт</t>
  </si>
  <si>
    <t>Показатель 2. Количество объектов, на которых осуществляется строительный контроль (технический надзор) за выполнением строительных (ремонтных) работ</t>
  </si>
  <si>
    <t>Задача: Повышение уровня безопасности объектов и систем жизнеобеспечения муниципальных образовательных организаций</t>
  </si>
  <si>
    <t>Показатель 1. Доля муниципальных образовательных организаций, уровень безопасности объектов и систем жизнеобеспечения которых отвечает требованиям нормативных документов</t>
  </si>
  <si>
    <t xml:space="preserve">Показатель 2. Количество муниципальных образовательных организаций, в которых выполнены работы по повышению уровня безопасности объектов и систем жизнеобеспечения </t>
  </si>
  <si>
    <t>Показатель 1. Площадь скатных кровель, прошедших капитальный и текущий ремонты</t>
  </si>
  <si>
    <t>Показатель 2. Площадь мягких кровель, прошедших капитальный и текущий ремонты</t>
  </si>
  <si>
    <t>Показатель 3. Площадь фасадов, прошедших капитальный и текущий ремонты</t>
  </si>
  <si>
    <t>Показатель 4. Количество крылец, прошедших реконструкцию, капитальный и текущий ремонты</t>
  </si>
  <si>
    <t>Показатель 5. Длина межпанельных швов, прошедших герметизацию</t>
  </si>
  <si>
    <t>м</t>
  </si>
  <si>
    <t>Показатель 2. Количество объектов, в которых системы автоматической пожарной сигнализации и систем оповещения и управления эвакуацией при пожаре приведены в соответствие нормативам</t>
  </si>
  <si>
    <t>Показатель 3. Количество объектов, в которых системы противопожарного водопровода и средства пожаротушения приведены в соответствие нормативам</t>
  </si>
  <si>
    <t>Показатель 6. Площадь оконных блоков, установленных на объектах муниципальных образовательных учреждений</t>
  </si>
  <si>
    <t>Показатель 7. Площадь дверных блоков, установленных на объектах муниципальных образовательных учреждений</t>
  </si>
  <si>
    <t>Показатель 1. Количество плавательных бассейнов, прошедших капитальный и текущий ремонты</t>
  </si>
  <si>
    <t>Показатель 1. Количество теневых навесов, прошедших капитальный и текущий ремонты</t>
  </si>
  <si>
    <t>Показатель 1. Количество разработанных проектов на выполнение электромонтажных работ</t>
  </si>
  <si>
    <t>Показатель 2. Количество групповых помещений, в которых проведена модернизация осветительного оборудования, щитов освещения и электрических сетей</t>
  </si>
  <si>
    <t>Показатель 3. Количество учебных кабинетов, в которых проведена модернизация осветительного оборудования, щитов освещения и электрических сетей</t>
  </si>
  <si>
    <t>Показатель 4. Количество зданий муниципальных образовательных организаций, в которых проведена замена вводно-распределительных устройств, силовых щитов, заземляющих устройств и систем выравнивания потенциалов</t>
  </si>
  <si>
    <t>Показатель 5. Количество систем вентиляции, прошедших реконструкцию и ремонт</t>
  </si>
  <si>
    <t>Мероприятие 3.04. Реализация дополнительных общеобразовательных программ естественно-научной и технической направленности</t>
  </si>
  <si>
    <t>Мероприятие 3.03. Проведение мероприятий, направленных на оснащение материально-технической базы  муниципальных образовательных организаций дополнительного образования</t>
  </si>
  <si>
    <t>Мероприятие 4.03. Организация и проведение  конкурсов программ развития муниципальных образовательных организаций</t>
  </si>
  <si>
    <t>Мероприятие 1.02. Реализация основных образовательных программ дошкольного образования, осуществление присмотра и ухода</t>
  </si>
  <si>
    <t>Мероприятие 1.03. 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 за счет средств областного бюджета</t>
  </si>
  <si>
    <t>Мероприятие 1.04. Муниципальная 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</t>
  </si>
  <si>
    <t>Мероприятие 1.05. Возмещение муниципальным образовательным организациям, реализующим образовательную программу дошкольного образования, расходов за присмотр и уход за детьми-инвалидами, детьми-сиротами и детьми, оставшимися без попечения родителей, а также за детьми с туберкулезной интоксикацией</t>
  </si>
  <si>
    <t>Мероприятие 1.06. Проведение мероприятий, направленных на оснащение  материально-технической базы муниципальных образовательных организаций, реализующих программы дошкольного образования</t>
  </si>
  <si>
    <t>Мероприятие 1.07. Проведение мероприятий, предусматривающих внедрение вариативных форм предоставления услуг дошкольного образования и услуг по присмотру и уходу за детьми</t>
  </si>
  <si>
    <t>Мероприятие 2.02. Реализация основных образовательных программ начального общего, основного общего, среднего общего образования</t>
  </si>
  <si>
    <t>Мероприятие 2.03. Организация питания  обучающихся в общеобразовательных организациях</t>
  </si>
  <si>
    <t>Мероприятие 2.04. Проведение мероприятий, направленных на оснащение  материально-технической базы муниципальных общеобразовательных организаций</t>
  </si>
  <si>
    <t>Мероприятие 5.04. Укрепление материально-технической базы развития муниципальных образовательных  организаций как системообразующих центров в работе по профориентации обучающихся</t>
  </si>
  <si>
    <t>Мероприятие 1.02. Обеспечение содержания зданий и сооружений муниципальных образовательных организаций</t>
  </si>
  <si>
    <t>Мероприятие 3.04. Проведение мероприятий, направленных на стимулирование творческой активности и профессионального развития педагогических работников</t>
  </si>
  <si>
    <t>Мероприятие 3.05.Предоставление доплаты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</t>
  </si>
  <si>
    <t>Показатель 1. Количество муниципальных образовательных организаций, в которых проведена реконструкция индивидуальных тепловых пунктов</t>
  </si>
  <si>
    <t>Показатель 2. Количество муниципальных образовательных организаций, в которых проведен ремонт системы холодного водоснабжения</t>
  </si>
  <si>
    <t>Показатель 3. Количество муниципальных образовательных организаций, в которых проведен ремонт системы горячего водоснабжения</t>
  </si>
  <si>
    <t>Показатель 4. Количество муниципальных образовательных организаций, в которых проведен ремонт системы отопления</t>
  </si>
  <si>
    <t>Показатель 5. Количество муниципальных образовательных организаций, в которых проведен ремонт системы фекальной канализации</t>
  </si>
  <si>
    <t>Показатель 6. Количество муниципальных образовательных организаций, в которых проведен ремонт системы ливневой канализации</t>
  </si>
  <si>
    <t>Показатель 7. Количество унитазов, установленных на объектах муниципальных образовательных организаций</t>
  </si>
  <si>
    <t>Показатель 8. Количество умывальников, установленных на объектах муниципальных образовательных организаций</t>
  </si>
  <si>
    <t>Показатель 1. Площадь помещений, прошедших текущий ремонт за счет средств местного бюджета</t>
  </si>
  <si>
    <t>Задача: Обеспечение содержания зданий и сооружений муниципальных образовательных организаций, обустройство прилегающих к ним территорий</t>
  </si>
  <si>
    <t>Показатель 1. Доля муниципальных образовательных организаций, которым оказаны услуги (выполнены работы) по содержанию зданий и сооружений, обустройству прилегающих к ним территорий</t>
  </si>
  <si>
    <t>Показатель 2. Доля выполненных заявок муниципальных образовательных организаций на выполнение работ по содержанию зданий и сооружений от общего количества поданных заявок</t>
  </si>
  <si>
    <t>Показатель 1.  Общая площадь подведомственных объектов</t>
  </si>
  <si>
    <t>кв.м</t>
  </si>
  <si>
    <t>Задача: Повышение уровня благоустройства территорий муниципальных образовательных организаций</t>
  </si>
  <si>
    <t>Показатель 1. Доля муниципальных образовательных организаций, территории которых отвечают нормативным документам</t>
  </si>
  <si>
    <t>Показатель 2. Количество территорий муниципальных образовательных организаций, благоустроенных в течение года</t>
  </si>
  <si>
    <t>Показатель 1. Количество ликвидированных и обрезанных деревьев</t>
  </si>
  <si>
    <t>Показатель 2. Количество муниципальных образовательных организаций, в которых проведены работы по восстановлению и ремонту наружного освещения</t>
  </si>
  <si>
    <t>Показатель 3. Площадь отремонтированного асфальтобетонного покрытия</t>
  </si>
  <si>
    <t>Показатель 6. Доля муниципальных образовательных организаций, в которых проведены мероприятия по обеспечению пожарной безопасности в соответствии с Правилами противопожарного режима в Российской Федерации</t>
  </si>
  <si>
    <t>Показатель 4. Количество муниципальных образовательных организаций, в которых обеспечено техническое обслуживание систем пожарно-охранной сигнализации и средств оповещения и управления эвакуацией людей при пожаре</t>
  </si>
  <si>
    <t>Показатель 4. Доля муниципальных образовательных организаций, в которых проведены мероприятия по  обеспечению технической укрепленности и антитеррористической защищенности</t>
  </si>
  <si>
    <t xml:space="preserve">Показатель 4. Количество муниципальных образовательных организаций, в которых приняты меры по пресечению правонарушений, преступлений с помощью кнопки тревожной сигнализации  </t>
  </si>
  <si>
    <t>Показатель 4. Площадь благоустроенной территории</t>
  </si>
  <si>
    <t>Задача: Повышение уровня пожарной безопасности муниципальных образовательных организаций</t>
  </si>
  <si>
    <t>Показатель 1. Доля объектов муниципальных образовательных организаций, оборудованных системой автоматического вывода сигнала о пожаре на пульт подразделения, ответственного за их противопожарную безопасность</t>
  </si>
  <si>
    <t>Показатель 3. Доля пожароопасных помещений муниципальных образовательных организаций, оборудованных дверьми с пределом огнестойкости не менее 0,6 часа</t>
  </si>
  <si>
    <t>Показатель 4. Доля объектов муниципальных образовательных организаций, где обеспечено соблюдение  технико-экономических и эксплуатационных показателей (характеристик) систем автоматической пожарной сигнализации и систем оповещения и управления эвакуацией при пожаре  на изначально предусмотренном уровне, приведение в соответствие нормативам систем автоматической пожарной сигнализации и систем оповещения и управления эвакуацией при пожаре</t>
  </si>
  <si>
    <t>Показатель 2. Количество структурных подразделений общеобразовательных организаций, оснащенных мебелью, мягким инвентарем, материалами ежегодно</t>
  </si>
  <si>
    <t>Показатель 4. Количество учреждений оборудованных игровыми площадками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</si>
</sst>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\-#,##0.0\ "/>
    <numFmt numFmtId="175" formatCode="#,##0.000"/>
    <numFmt numFmtId="176" formatCode="#,##0.0000"/>
    <numFmt numFmtId="177" formatCode="_-* #,##0.0_р_._-;\-* #,##0.0_р_._-;_-* &quot;-&quot;?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#,##0.00_ ;[Red]\-#,##0.00\ "/>
    <numFmt numFmtId="192" formatCode="_-* #,##0.0\ _₽_-;\-* #,##0.0\ _₽_-;_-* &quot;-&quot;?\ _₽_-;_-@_-"/>
    <numFmt numFmtId="193" formatCode="#,##0_ ;[Red]\-#,##0\ "/>
  </numFmts>
  <fonts count="6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36"/>
      <name val="Times New Roman"/>
      <family val="1"/>
    </font>
    <font>
      <sz val="10"/>
      <color indexed="40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7030A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73" fontId="4" fillId="0" borderId="10" xfId="6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" fontId="3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173" fontId="3" fillId="34" borderId="10" xfId="0" applyNumberFormat="1" applyFont="1" applyFill="1" applyBorder="1" applyAlignment="1">
      <alignment horizontal="center" vertical="center" wrapText="1"/>
    </xf>
    <xf numFmtId="3" fontId="3" fillId="34" borderId="10" xfId="53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left" vertical="center" wrapText="1"/>
    </xf>
    <xf numFmtId="172" fontId="4" fillId="18" borderId="10" xfId="0" applyNumberFormat="1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174" fontId="4" fillId="18" borderId="10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172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172" fontId="4" fillId="35" borderId="10" xfId="0" applyNumberFormat="1" applyFont="1" applyFill="1" applyBorder="1" applyAlignment="1">
      <alignment horizontal="center" vertical="center"/>
    </xf>
    <xf numFmtId="172" fontId="3" fillId="35" borderId="10" xfId="0" applyNumberFormat="1" applyFont="1" applyFill="1" applyBorder="1" applyAlignment="1">
      <alignment horizontal="center" vertical="center" wrapText="1"/>
    </xf>
    <xf numFmtId="173" fontId="4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 wrapText="1"/>
    </xf>
    <xf numFmtId="173" fontId="4" fillId="35" borderId="10" xfId="0" applyNumberFormat="1" applyFont="1" applyFill="1" applyBorder="1" applyAlignment="1">
      <alignment horizontal="center" vertical="center" wrapText="1"/>
    </xf>
    <xf numFmtId="0" fontId="3" fillId="35" borderId="10" xfId="53" applyFont="1" applyFill="1" applyBorder="1" applyAlignment="1">
      <alignment horizontal="center" vertical="center" wrapText="1"/>
      <protection/>
    </xf>
    <xf numFmtId="0" fontId="3" fillId="35" borderId="10" xfId="53" applyFont="1" applyFill="1" applyBorder="1" applyAlignment="1">
      <alignment horizontal="left" vertical="center" wrapText="1"/>
      <protection/>
    </xf>
    <xf numFmtId="3" fontId="3" fillId="35" borderId="10" xfId="53" applyNumberFormat="1" applyFont="1" applyFill="1" applyBorder="1" applyAlignment="1">
      <alignment horizontal="center" vertical="center" wrapText="1"/>
      <protection/>
    </xf>
    <xf numFmtId="0" fontId="4" fillId="35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top" wrapText="1"/>
    </xf>
    <xf numFmtId="0" fontId="10" fillId="36" borderId="0" xfId="0" applyFont="1" applyFill="1" applyBorder="1" applyAlignment="1">
      <alignment vertical="center"/>
    </xf>
    <xf numFmtId="172" fontId="4" fillId="36" borderId="10" xfId="0" applyNumberFormat="1" applyFont="1" applyFill="1" applyBorder="1" applyAlignment="1">
      <alignment horizontal="center" vertical="center" wrapText="1"/>
    </xf>
    <xf numFmtId="172" fontId="3" fillId="36" borderId="10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2" fontId="4" fillId="36" borderId="10" xfId="62" applyNumberFormat="1" applyFont="1" applyFill="1" applyBorder="1" applyAlignment="1">
      <alignment horizontal="center" vertical="center" wrapText="1"/>
    </xf>
    <xf numFmtId="173" fontId="4" fillId="36" borderId="10" xfId="62" applyNumberFormat="1" applyFont="1" applyFill="1" applyBorder="1" applyAlignment="1">
      <alignment horizontal="center" vertical="center" wrapText="1"/>
    </xf>
    <xf numFmtId="172" fontId="4" fillId="35" borderId="10" xfId="62" applyNumberFormat="1" applyFont="1" applyFill="1" applyBorder="1" applyAlignment="1">
      <alignment horizontal="center" vertical="center" wrapText="1"/>
    </xf>
    <xf numFmtId="172" fontId="3" fillId="36" borderId="0" xfId="0" applyNumberFormat="1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8" fillId="34" borderId="0" xfId="0" applyFont="1" applyFill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2" fontId="4" fillId="34" borderId="10" xfId="62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16" fontId="4" fillId="34" borderId="10" xfId="0" applyNumberFormat="1" applyFont="1" applyFill="1" applyBorder="1" applyAlignment="1">
      <alignment horizontal="center" vertical="center" wrapText="1"/>
    </xf>
    <xf numFmtId="174" fontId="4" fillId="34" borderId="10" xfId="62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34" borderId="0" xfId="0" applyFont="1" applyFill="1" applyAlignment="1">
      <alignment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4" fontId="4" fillId="0" borderId="10" xfId="62" applyNumberFormat="1" applyFont="1" applyFill="1" applyBorder="1" applyAlignment="1">
      <alignment horizontal="center" vertical="center" wrapText="1"/>
    </xf>
    <xf numFmtId="172" fontId="4" fillId="0" borderId="10" xfId="62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/>
    </xf>
    <xf numFmtId="193" fontId="3" fillId="0" borderId="10" xfId="0" applyNumberFormat="1" applyFont="1" applyFill="1" applyBorder="1" applyAlignment="1">
      <alignment horizontal="center" vertical="center" wrapText="1"/>
    </xf>
    <xf numFmtId="174" fontId="4" fillId="0" borderId="10" xfId="62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72" fontId="3" fillId="34" borderId="10" xfId="53" applyNumberFormat="1" applyFont="1" applyFill="1" applyBorder="1" applyAlignment="1">
      <alignment horizontal="center" vertical="center" wrapText="1"/>
      <protection/>
    </xf>
    <xf numFmtId="0" fontId="4" fillId="37" borderId="10" xfId="0" applyFont="1" applyFill="1" applyBorder="1" applyAlignment="1">
      <alignment horizontal="center" vertical="center" wrapText="1"/>
    </xf>
    <xf numFmtId="172" fontId="16" fillId="33" borderId="10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34" borderId="0" xfId="0" applyFont="1" applyFill="1" applyBorder="1" applyAlignment="1">
      <alignment vertical="center" wrapText="1"/>
    </xf>
    <xf numFmtId="0" fontId="17" fillId="34" borderId="0" xfId="0" applyFont="1" applyFill="1" applyBorder="1" applyAlignment="1">
      <alignment vertical="center"/>
    </xf>
    <xf numFmtId="172" fontId="16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173" fontId="20" fillId="34" borderId="10" xfId="0" applyNumberFormat="1" applyFont="1" applyFill="1" applyBorder="1" applyAlignment="1">
      <alignment horizontal="center" vertical="center" wrapText="1"/>
    </xf>
    <xf numFmtId="172" fontId="20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3" fontId="20" fillId="34" borderId="10" xfId="0" applyNumberFormat="1" applyFont="1" applyFill="1" applyBorder="1" applyAlignment="1">
      <alignment horizontal="center" vertical="center" wrapText="1"/>
    </xf>
    <xf numFmtId="1" fontId="20" fillId="34" borderId="10" xfId="0" applyNumberFormat="1" applyFont="1" applyFill="1" applyBorder="1" applyAlignment="1">
      <alignment horizontal="center" vertical="center" wrapText="1"/>
    </xf>
    <xf numFmtId="172" fontId="21" fillId="34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173" fontId="8" fillId="34" borderId="10" xfId="0" applyNumberFormat="1" applyFont="1" applyFill="1" applyBorder="1" applyAlignment="1">
      <alignment horizontal="center" vertical="center" wrapText="1"/>
    </xf>
    <xf numFmtId="172" fontId="18" fillId="34" borderId="10" xfId="0" applyNumberFormat="1" applyFont="1" applyFill="1" applyBorder="1" applyAlignment="1">
      <alignment horizontal="center" vertical="center" wrapText="1"/>
    </xf>
    <xf numFmtId="173" fontId="19" fillId="34" borderId="10" xfId="0" applyNumberFormat="1" applyFont="1" applyFill="1" applyBorder="1" applyAlignment="1">
      <alignment horizontal="center" vertical="center" wrapText="1"/>
    </xf>
    <xf numFmtId="172" fontId="19" fillId="34" borderId="10" xfId="0" applyNumberFormat="1" applyFont="1" applyFill="1" applyBorder="1" applyAlignment="1">
      <alignment horizontal="center" vertical="center" wrapText="1"/>
    </xf>
    <xf numFmtId="3" fontId="19" fillId="34" borderId="10" xfId="53" applyNumberFormat="1" applyFont="1" applyFill="1" applyBorder="1" applyAlignment="1">
      <alignment horizontal="center" vertical="center" wrapText="1"/>
      <protection/>
    </xf>
    <xf numFmtId="3" fontId="19" fillId="34" borderId="10" xfId="0" applyNumberFormat="1" applyFont="1" applyFill="1" applyBorder="1" applyAlignment="1">
      <alignment horizontal="center" vertical="center" wrapText="1"/>
    </xf>
    <xf numFmtId="1" fontId="19" fillId="34" borderId="10" xfId="0" applyNumberFormat="1" applyFont="1" applyFill="1" applyBorder="1" applyAlignment="1">
      <alignment horizontal="center" vertical="center" wrapText="1"/>
    </xf>
    <xf numFmtId="1" fontId="19" fillId="34" borderId="10" xfId="0" applyNumberFormat="1" applyFont="1" applyFill="1" applyBorder="1" applyAlignment="1">
      <alignment horizontal="center" vertical="center"/>
    </xf>
    <xf numFmtId="3" fontId="18" fillId="34" borderId="10" xfId="0" applyNumberFormat="1" applyFont="1" applyFill="1" applyBorder="1" applyAlignment="1">
      <alignment horizontal="center" vertical="center" wrapText="1"/>
    </xf>
    <xf numFmtId="172" fontId="8" fillId="34" borderId="10" xfId="53" applyNumberFormat="1" applyFont="1" applyFill="1" applyBorder="1" applyAlignment="1">
      <alignment horizontal="center" vertical="center" wrapText="1"/>
      <protection/>
    </xf>
    <xf numFmtId="173" fontId="8" fillId="34" borderId="10" xfId="0" applyNumberFormat="1" applyFont="1" applyFill="1" applyBorder="1" applyAlignment="1">
      <alignment horizontal="center" vertical="center" wrapText="1"/>
    </xf>
    <xf numFmtId="3" fontId="16" fillId="34" borderId="10" xfId="53" applyNumberFormat="1" applyFont="1" applyFill="1" applyBorder="1" applyAlignment="1">
      <alignment horizontal="center" vertical="center" wrapText="1"/>
      <protection/>
    </xf>
    <xf numFmtId="172" fontId="8" fillId="34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172" fontId="16" fillId="34" borderId="10" xfId="62" applyNumberFormat="1" applyFont="1" applyFill="1" applyBorder="1" applyAlignment="1">
      <alignment horizontal="center" vertical="center" wrapText="1"/>
    </xf>
    <xf numFmtId="174" fontId="16" fillId="34" borderId="10" xfId="62" applyNumberFormat="1" applyFont="1" applyFill="1" applyBorder="1" applyAlignment="1">
      <alignment horizontal="center" vertical="center" wrapText="1"/>
    </xf>
    <xf numFmtId="173" fontId="16" fillId="34" borderId="10" xfId="62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20" fillId="34" borderId="10" xfId="0" applyNumberFormat="1" applyFont="1" applyFill="1" applyBorder="1" applyAlignment="1">
      <alignment horizontal="center" vertical="center" wrapText="1"/>
    </xf>
    <xf numFmtId="172" fontId="8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 horizontal="center" vertical="center" wrapText="1"/>
    </xf>
    <xf numFmtId="172" fontId="16" fillId="35" borderId="10" xfId="0" applyNumberFormat="1" applyFont="1" applyFill="1" applyBorder="1" applyAlignment="1">
      <alignment horizontal="center" vertical="center" wrapText="1"/>
    </xf>
    <xf numFmtId="172" fontId="16" fillId="18" borderId="10" xfId="0" applyNumberFormat="1" applyFont="1" applyFill="1" applyBorder="1" applyAlignment="1">
      <alignment horizontal="center" vertical="center" wrapText="1"/>
    </xf>
    <xf numFmtId="174" fontId="16" fillId="18" borderId="10" xfId="0" applyNumberFormat="1" applyFont="1" applyFill="1" applyBorder="1" applyAlignment="1">
      <alignment horizontal="center" vertical="center" wrapText="1"/>
    </xf>
    <xf numFmtId="172" fontId="18" fillId="18" borderId="10" xfId="0" applyNumberFormat="1" applyFont="1" applyFill="1" applyBorder="1" applyAlignment="1">
      <alignment horizontal="center" vertical="center" wrapText="1"/>
    </xf>
    <xf numFmtId="172" fontId="19" fillId="35" borderId="10" xfId="0" applyNumberFormat="1" applyFont="1" applyFill="1" applyBorder="1" applyAlignment="1">
      <alignment horizontal="center" vertical="center" wrapText="1"/>
    </xf>
    <xf numFmtId="172" fontId="18" fillId="35" borderId="10" xfId="0" applyNumberFormat="1" applyFont="1" applyFill="1" applyBorder="1" applyAlignment="1">
      <alignment horizontal="center" vertical="center" wrapText="1"/>
    </xf>
    <xf numFmtId="3" fontId="19" fillId="35" borderId="10" xfId="53" applyNumberFormat="1" applyFont="1" applyFill="1" applyBorder="1" applyAlignment="1">
      <alignment horizontal="center" vertical="center" wrapText="1"/>
      <protection/>
    </xf>
    <xf numFmtId="173" fontId="16" fillId="35" borderId="10" xfId="0" applyNumberFormat="1" applyFont="1" applyFill="1" applyBorder="1" applyAlignment="1">
      <alignment horizontal="center" vertical="center" wrapText="1"/>
    </xf>
    <xf numFmtId="172" fontId="18" fillId="35" borderId="10" xfId="0" applyNumberFormat="1" applyFont="1" applyFill="1" applyBorder="1" applyAlignment="1">
      <alignment horizontal="center" vertical="center"/>
    </xf>
    <xf numFmtId="172" fontId="16" fillId="35" borderId="10" xfId="0" applyNumberFormat="1" applyFont="1" applyFill="1" applyBorder="1" applyAlignment="1">
      <alignment horizontal="center" vertical="center"/>
    </xf>
    <xf numFmtId="172" fontId="8" fillId="35" borderId="10" xfId="0" applyNumberFormat="1" applyFont="1" applyFill="1" applyBorder="1" applyAlignment="1">
      <alignment horizontal="center" vertical="center" wrapText="1"/>
    </xf>
    <xf numFmtId="173" fontId="16" fillId="35" borderId="10" xfId="0" applyNumberFormat="1" applyFont="1" applyFill="1" applyBorder="1" applyAlignment="1">
      <alignment horizontal="center" vertical="center"/>
    </xf>
    <xf numFmtId="172" fontId="16" fillId="32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72" fontId="16" fillId="35" borderId="10" xfId="62" applyNumberFormat="1" applyFont="1" applyFill="1" applyBorder="1" applyAlignment="1">
      <alignment horizontal="center" vertical="center" wrapText="1"/>
    </xf>
    <xf numFmtId="172" fontId="22" fillId="35" borderId="10" xfId="0" applyNumberFormat="1" applyFont="1" applyFill="1" applyBorder="1" applyAlignment="1">
      <alignment horizontal="center" vertical="center" wrapText="1"/>
    </xf>
    <xf numFmtId="172" fontId="22" fillId="34" borderId="10" xfId="0" applyNumberFormat="1" applyFont="1" applyFill="1" applyBorder="1" applyAlignment="1">
      <alignment horizontal="center" vertical="center" wrapText="1"/>
    </xf>
    <xf numFmtId="3" fontId="23" fillId="34" borderId="10" xfId="0" applyNumberFormat="1" applyFont="1" applyFill="1" applyBorder="1" applyAlignment="1">
      <alignment horizontal="center" vertical="center" wrapText="1"/>
    </xf>
    <xf numFmtId="172" fontId="14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" fontId="8" fillId="34" borderId="10" xfId="0" applyNumberFormat="1" applyFont="1" applyFill="1" applyBorder="1" applyAlignment="1">
      <alignment horizontal="center" vertical="center" wrapText="1"/>
    </xf>
    <xf numFmtId="172" fontId="8" fillId="38" borderId="10" xfId="0" applyNumberFormat="1" applyFont="1" applyFill="1" applyBorder="1" applyAlignment="1">
      <alignment horizontal="center" vertical="center" wrapText="1"/>
    </xf>
    <xf numFmtId="172" fontId="60" fillId="38" borderId="10" xfId="0" applyNumberFormat="1" applyFont="1" applyFill="1" applyBorder="1" applyAlignment="1">
      <alignment horizontal="center" vertical="center" wrapText="1"/>
    </xf>
    <xf numFmtId="172" fontId="61" fillId="38" borderId="10" xfId="0" applyNumberFormat="1" applyFont="1" applyFill="1" applyBorder="1" applyAlignment="1">
      <alignment horizontal="center" vertical="center" wrapText="1"/>
    </xf>
    <xf numFmtId="172" fontId="62" fillId="38" borderId="10" xfId="0" applyNumberFormat="1" applyFont="1" applyFill="1" applyBorder="1" applyAlignment="1">
      <alignment horizontal="center" vertical="center" wrapText="1"/>
    </xf>
    <xf numFmtId="0" fontId="62" fillId="38" borderId="10" xfId="0" applyFont="1" applyFill="1" applyBorder="1" applyAlignment="1">
      <alignment horizontal="center" vertical="center" wrapText="1"/>
    </xf>
    <xf numFmtId="172" fontId="63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34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/>
    </xf>
    <xf numFmtId="1" fontId="4" fillId="34" borderId="1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1" fontId="14" fillId="34" borderId="17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93"/>
  <sheetViews>
    <sheetView tabSelected="1" zoomScale="70" zoomScaleNormal="70" zoomScalePageLayoutView="0" workbookViewId="0" topLeftCell="A1">
      <pane ySplit="6" topLeftCell="A13" activePane="bottomLeft" state="frozen"/>
      <selection pane="topLeft" activeCell="B1" sqref="B1"/>
      <selection pane="bottomLeft" activeCell="L18" sqref="L18"/>
    </sheetView>
  </sheetViews>
  <sheetFormatPr defaultColWidth="9.33203125" defaultRowHeight="12.75"/>
  <cols>
    <col min="1" max="2" width="4.33203125" style="0" customWidth="1"/>
    <col min="3" max="6" width="4.5" style="0" customWidth="1"/>
    <col min="7" max="7" width="6.33203125" style="0" customWidth="1"/>
    <col min="8" max="8" width="49.5" style="0" customWidth="1"/>
    <col min="9" max="9" width="13" style="0" customWidth="1"/>
    <col min="10" max="10" width="15.5" style="0" customWidth="1"/>
    <col min="11" max="11" width="15.83203125" style="0" customWidth="1"/>
    <col min="12" max="12" width="19.66015625" style="178" bestFit="1" customWidth="1"/>
    <col min="13" max="13" width="15.16015625" style="106" customWidth="1"/>
    <col min="14" max="14" width="15.33203125" style="106" bestFit="1" customWidth="1"/>
    <col min="15" max="15" width="13.66015625" style="0" customWidth="1"/>
    <col min="16" max="16" width="15" style="0" customWidth="1"/>
    <col min="17" max="17" width="14.66015625" style="6" customWidth="1"/>
    <col min="18" max="18" width="12.5" style="2" bestFit="1" customWidth="1"/>
    <col min="19" max="28" width="9.33203125" style="2" customWidth="1"/>
  </cols>
  <sheetData>
    <row r="1" spans="1:17" ht="138.75" customHeight="1">
      <c r="A1" s="20"/>
      <c r="B1" s="20"/>
      <c r="C1" s="20"/>
      <c r="D1" s="20"/>
      <c r="E1" s="20"/>
      <c r="F1" s="20"/>
      <c r="G1" s="21"/>
      <c r="H1" s="22"/>
      <c r="I1" s="23"/>
      <c r="J1" s="24"/>
      <c r="K1" s="24"/>
      <c r="L1" s="146"/>
      <c r="M1" s="221" t="s">
        <v>161</v>
      </c>
      <c r="N1" s="221"/>
      <c r="O1" s="221"/>
      <c r="P1" s="221"/>
      <c r="Q1" s="221"/>
    </row>
    <row r="2" spans="1:17" ht="36" customHeight="1">
      <c r="A2" s="222" t="s">
        <v>105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</row>
    <row r="3" spans="1:17" ht="29.25" customHeight="1">
      <c r="A3" s="68" t="s">
        <v>178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147"/>
      <c r="M3" s="97"/>
      <c r="N3" s="97"/>
      <c r="O3" s="68"/>
      <c r="P3" s="68"/>
      <c r="Q3" s="68"/>
    </row>
    <row r="4" spans="1:17" ht="22.5" customHeight="1">
      <c r="A4" s="223" t="s">
        <v>248</v>
      </c>
      <c r="B4" s="224"/>
      <c r="C4" s="224"/>
      <c r="D4" s="224"/>
      <c r="E4" s="224"/>
      <c r="F4" s="225"/>
      <c r="G4" s="229" t="s">
        <v>249</v>
      </c>
      <c r="H4" s="231" t="s">
        <v>250</v>
      </c>
      <c r="I4" s="233" t="s">
        <v>251</v>
      </c>
      <c r="J4" s="236" t="s">
        <v>214</v>
      </c>
      <c r="K4" s="236"/>
      <c r="L4" s="236"/>
      <c r="M4" s="236"/>
      <c r="N4" s="236"/>
      <c r="O4" s="236"/>
      <c r="P4" s="214"/>
      <c r="Q4" s="215"/>
    </row>
    <row r="5" spans="1:17" ht="42.75" customHeight="1">
      <c r="A5" s="226"/>
      <c r="B5" s="227"/>
      <c r="C5" s="227"/>
      <c r="D5" s="227"/>
      <c r="E5" s="227"/>
      <c r="F5" s="228"/>
      <c r="G5" s="230"/>
      <c r="H5" s="232"/>
      <c r="I5" s="233"/>
      <c r="J5" s="208">
        <v>2016</v>
      </c>
      <c r="K5" s="210">
        <v>2017</v>
      </c>
      <c r="L5" s="234">
        <v>2018</v>
      </c>
      <c r="M5" s="210">
        <v>2019</v>
      </c>
      <c r="N5" s="210">
        <v>2020</v>
      </c>
      <c r="O5" s="212">
        <v>2021</v>
      </c>
      <c r="P5" s="216" t="s">
        <v>177</v>
      </c>
      <c r="Q5" s="216" t="s">
        <v>252</v>
      </c>
    </row>
    <row r="6" spans="1:17" ht="118.5" customHeight="1">
      <c r="A6" s="27" t="s">
        <v>253</v>
      </c>
      <c r="B6" s="28" t="s">
        <v>254</v>
      </c>
      <c r="C6" s="28" t="s">
        <v>255</v>
      </c>
      <c r="D6" s="28" t="s">
        <v>256</v>
      </c>
      <c r="E6" s="218" t="s">
        <v>257</v>
      </c>
      <c r="F6" s="219"/>
      <c r="G6" s="230"/>
      <c r="H6" s="232"/>
      <c r="I6" s="231"/>
      <c r="J6" s="209"/>
      <c r="K6" s="220"/>
      <c r="L6" s="235"/>
      <c r="M6" s="211"/>
      <c r="N6" s="211"/>
      <c r="O6" s="213"/>
      <c r="P6" s="217"/>
      <c r="Q6" s="217"/>
    </row>
    <row r="7" spans="1:17" ht="12.75" customHeight="1">
      <c r="A7" s="26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109"/>
      <c r="M7" s="109"/>
      <c r="N7" s="109"/>
      <c r="O7" s="29">
        <v>15</v>
      </c>
      <c r="P7" s="29">
        <v>16</v>
      </c>
      <c r="Q7" s="29">
        <v>17</v>
      </c>
    </row>
    <row r="8" spans="1:18" ht="25.5" customHeight="1">
      <c r="A8" s="73" t="s">
        <v>259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/>
      <c r="H8" s="74" t="s">
        <v>133</v>
      </c>
      <c r="I8" s="56" t="s">
        <v>260</v>
      </c>
      <c r="J8" s="57">
        <f aca="true" t="shared" si="0" ref="J8:O8">J9+J10+J11</f>
        <v>3145107.8</v>
      </c>
      <c r="K8" s="57">
        <f t="shared" si="0"/>
        <v>3319816.2</v>
      </c>
      <c r="L8" s="138">
        <f>L9+L10+L11</f>
        <v>3845529.9</v>
      </c>
      <c r="M8" s="57">
        <f>M9+M10+M11</f>
        <v>3366134.5</v>
      </c>
      <c r="N8" s="57">
        <f>N9+N10+N11</f>
        <v>3484699.6</v>
      </c>
      <c r="O8" s="57">
        <f t="shared" si="0"/>
        <v>3815444.1</v>
      </c>
      <c r="P8" s="57">
        <f>J8+K8+L8+M8+N8+O8</f>
        <v>20976732.1</v>
      </c>
      <c r="Q8" s="56">
        <v>2021</v>
      </c>
      <c r="R8" s="199"/>
    </row>
    <row r="9" spans="1:18" ht="12.75">
      <c r="A9" s="26" t="s">
        <v>259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3</v>
      </c>
      <c r="H9" s="19" t="s">
        <v>261</v>
      </c>
      <c r="I9" s="29" t="s">
        <v>260</v>
      </c>
      <c r="J9" s="18">
        <f aca="true" t="shared" si="1" ref="J9:O9">J21+J223+J312+J390+J418+J485</f>
        <v>1105715.3</v>
      </c>
      <c r="K9" s="18">
        <f t="shared" si="1"/>
        <v>1215699.3</v>
      </c>
      <c r="L9" s="148">
        <f aca="true" t="shared" si="2" ref="L9:N10">L21+L223+L312+L390+L418+L485</f>
        <v>1390742.1</v>
      </c>
      <c r="M9" s="18">
        <f t="shared" si="2"/>
        <v>1147356</v>
      </c>
      <c r="N9" s="18">
        <f t="shared" si="2"/>
        <v>1167356</v>
      </c>
      <c r="O9" s="18">
        <f t="shared" si="1"/>
        <v>1355878</v>
      </c>
      <c r="P9" s="63">
        <f>J9+K9+L9+M9+N9+O9</f>
        <v>7382746.7</v>
      </c>
      <c r="Q9" s="29">
        <v>2021</v>
      </c>
      <c r="R9" s="199"/>
    </row>
    <row r="10" spans="1:18" ht="12.75">
      <c r="A10" s="26" t="s">
        <v>259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2</v>
      </c>
      <c r="H10" s="19" t="s">
        <v>262</v>
      </c>
      <c r="I10" s="29" t="s">
        <v>260</v>
      </c>
      <c r="J10" s="18">
        <f>J22+J224+J313+J391+J419</f>
        <v>2034080</v>
      </c>
      <c r="K10" s="18">
        <f>K22+K224+K313+K391+K419</f>
        <v>2101798.1</v>
      </c>
      <c r="L10" s="148">
        <f t="shared" si="2"/>
        <v>2454787.8</v>
      </c>
      <c r="M10" s="98">
        <f t="shared" si="2"/>
        <v>2218778.5</v>
      </c>
      <c r="N10" s="98">
        <f t="shared" si="2"/>
        <v>2317343.6</v>
      </c>
      <c r="O10" s="98">
        <f>O22+O224+O313+O391+O419+O486</f>
        <v>2459566.1</v>
      </c>
      <c r="P10" s="63">
        <f>J10+K10+L10+M10+N10+O10</f>
        <v>13586354.1</v>
      </c>
      <c r="Q10" s="29">
        <v>2021</v>
      </c>
      <c r="R10" s="199"/>
    </row>
    <row r="11" spans="1:17" ht="12.75">
      <c r="A11" s="26" t="s">
        <v>259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1</v>
      </c>
      <c r="H11" s="19" t="s">
        <v>263</v>
      </c>
      <c r="I11" s="29" t="s">
        <v>260</v>
      </c>
      <c r="J11" s="18">
        <f>J225+J392</f>
        <v>5312.5</v>
      </c>
      <c r="K11" s="18">
        <f>K392</f>
        <v>2318.8</v>
      </c>
      <c r="L11" s="148">
        <f>L392</f>
        <v>0</v>
      </c>
      <c r="M11" s="98">
        <f>M392</f>
        <v>0</v>
      </c>
      <c r="N11" s="98">
        <f>N392</f>
        <v>0</v>
      </c>
      <c r="O11" s="18">
        <f>O392</f>
        <v>0</v>
      </c>
      <c r="P11" s="63">
        <f>J11+K11+L11+M11+N11+O11</f>
        <v>7631.3</v>
      </c>
      <c r="Q11" s="29">
        <v>2017</v>
      </c>
    </row>
    <row r="12" spans="1:17" ht="51">
      <c r="A12" s="26" t="s">
        <v>259</v>
      </c>
      <c r="B12" s="29">
        <v>1</v>
      </c>
      <c r="C12" s="29">
        <v>0</v>
      </c>
      <c r="D12" s="29">
        <v>0</v>
      </c>
      <c r="E12" s="29">
        <v>0</v>
      </c>
      <c r="F12" s="29">
        <v>0</v>
      </c>
      <c r="G12" s="5"/>
      <c r="H12" s="30" t="s">
        <v>149</v>
      </c>
      <c r="I12" s="5" t="s">
        <v>258</v>
      </c>
      <c r="J12" s="5" t="s">
        <v>258</v>
      </c>
      <c r="K12" s="64"/>
      <c r="L12" s="149"/>
      <c r="M12" s="64"/>
      <c r="N12" s="64"/>
      <c r="O12" s="5"/>
      <c r="P12" s="5"/>
      <c r="Q12" s="5" t="s">
        <v>258</v>
      </c>
    </row>
    <row r="13" spans="1:17" ht="38.25">
      <c r="A13" s="26" t="s">
        <v>259</v>
      </c>
      <c r="B13" s="29">
        <v>1</v>
      </c>
      <c r="C13" s="29">
        <v>0</v>
      </c>
      <c r="D13" s="29">
        <v>0</v>
      </c>
      <c r="E13" s="29">
        <v>0</v>
      </c>
      <c r="F13" s="29">
        <v>0</v>
      </c>
      <c r="G13" s="5"/>
      <c r="H13" s="8" t="s">
        <v>264</v>
      </c>
      <c r="I13" s="5" t="s">
        <v>265</v>
      </c>
      <c r="J13" s="7">
        <v>100</v>
      </c>
      <c r="K13" s="7">
        <v>100</v>
      </c>
      <c r="L13" s="62">
        <v>100</v>
      </c>
      <c r="M13" s="62">
        <v>100</v>
      </c>
      <c r="N13" s="62">
        <v>100</v>
      </c>
      <c r="O13" s="7">
        <v>100</v>
      </c>
      <c r="P13" s="7">
        <v>100</v>
      </c>
      <c r="Q13" s="5">
        <v>2021</v>
      </c>
    </row>
    <row r="14" spans="1:17" ht="25.5">
      <c r="A14" s="26" t="s">
        <v>259</v>
      </c>
      <c r="B14" s="29">
        <v>1</v>
      </c>
      <c r="C14" s="29">
        <v>0</v>
      </c>
      <c r="D14" s="29">
        <v>0</v>
      </c>
      <c r="E14" s="29">
        <v>0</v>
      </c>
      <c r="F14" s="29">
        <v>0</v>
      </c>
      <c r="G14" s="5"/>
      <c r="H14" s="8" t="s">
        <v>266</v>
      </c>
      <c r="I14" s="5" t="s">
        <v>265</v>
      </c>
      <c r="J14" s="5">
        <v>93.6</v>
      </c>
      <c r="K14" s="5">
        <v>96.6</v>
      </c>
      <c r="L14" s="62">
        <v>99.1</v>
      </c>
      <c r="M14" s="62">
        <v>98</v>
      </c>
      <c r="N14" s="62">
        <v>98.1</v>
      </c>
      <c r="O14" s="5">
        <v>96.6</v>
      </c>
      <c r="P14" s="7">
        <f>(J14+K14+L14+M14+N14+O14)/6</f>
        <v>97</v>
      </c>
      <c r="Q14" s="5">
        <v>2021</v>
      </c>
    </row>
    <row r="15" spans="1:17" ht="51">
      <c r="A15" s="26" t="s">
        <v>259</v>
      </c>
      <c r="B15" s="29">
        <v>1</v>
      </c>
      <c r="C15" s="29">
        <v>0</v>
      </c>
      <c r="D15" s="29">
        <v>0</v>
      </c>
      <c r="E15" s="29">
        <v>0</v>
      </c>
      <c r="F15" s="29">
        <v>0</v>
      </c>
      <c r="G15" s="5"/>
      <c r="H15" s="8" t="s">
        <v>267</v>
      </c>
      <c r="I15" s="5" t="s">
        <v>265</v>
      </c>
      <c r="J15" s="7">
        <v>65</v>
      </c>
      <c r="K15" s="62">
        <v>68.6</v>
      </c>
      <c r="L15" s="62">
        <v>70</v>
      </c>
      <c r="M15" s="62">
        <v>72</v>
      </c>
      <c r="N15" s="62">
        <v>74</v>
      </c>
      <c r="O15" s="7">
        <v>68.8</v>
      </c>
      <c r="P15" s="7">
        <f>SUM(J15:O15)/6</f>
        <v>69.7</v>
      </c>
      <c r="Q15" s="5">
        <v>2021</v>
      </c>
    </row>
    <row r="16" spans="1:17" ht="63.75">
      <c r="A16" s="26" t="s">
        <v>259</v>
      </c>
      <c r="B16" s="29">
        <v>1</v>
      </c>
      <c r="C16" s="29">
        <v>0</v>
      </c>
      <c r="D16" s="29">
        <v>0</v>
      </c>
      <c r="E16" s="29">
        <v>0</v>
      </c>
      <c r="F16" s="29">
        <v>0</v>
      </c>
      <c r="G16" s="5"/>
      <c r="H16" s="8" t="s">
        <v>268</v>
      </c>
      <c r="I16" s="5" t="s">
        <v>265</v>
      </c>
      <c r="J16" s="7">
        <v>95</v>
      </c>
      <c r="K16" s="62">
        <v>96</v>
      </c>
      <c r="L16" s="206">
        <v>97</v>
      </c>
      <c r="M16" s="62">
        <v>97</v>
      </c>
      <c r="N16" s="62">
        <v>98.3</v>
      </c>
      <c r="O16" s="7">
        <v>99</v>
      </c>
      <c r="P16" s="7">
        <f>SUM(J16:O16)/6</f>
        <v>97.1</v>
      </c>
      <c r="Q16" s="5">
        <v>2021</v>
      </c>
    </row>
    <row r="17" spans="1:17" ht="76.5">
      <c r="A17" s="26" t="s">
        <v>259</v>
      </c>
      <c r="B17" s="29">
        <v>1</v>
      </c>
      <c r="C17" s="29">
        <v>0</v>
      </c>
      <c r="D17" s="29">
        <v>0</v>
      </c>
      <c r="E17" s="29">
        <v>0</v>
      </c>
      <c r="F17" s="29">
        <v>0</v>
      </c>
      <c r="G17" s="5"/>
      <c r="H17" s="8" t="s">
        <v>97</v>
      </c>
      <c r="I17" s="5" t="s">
        <v>265</v>
      </c>
      <c r="J17" s="4">
        <v>31</v>
      </c>
      <c r="K17" s="4">
        <v>32.1</v>
      </c>
      <c r="L17" s="71">
        <v>28.4</v>
      </c>
      <c r="M17" s="71">
        <v>28.4</v>
      </c>
      <c r="N17" s="71">
        <v>28.4</v>
      </c>
      <c r="O17" s="4">
        <v>32.1</v>
      </c>
      <c r="P17" s="4">
        <f>SUM(J17:O17)/6</f>
        <v>30.1</v>
      </c>
      <c r="Q17" s="5">
        <v>2021</v>
      </c>
    </row>
    <row r="18" spans="1:17" ht="76.5" customHeight="1">
      <c r="A18" s="26" t="s">
        <v>259</v>
      </c>
      <c r="B18" s="29">
        <v>1</v>
      </c>
      <c r="C18" s="29">
        <v>0</v>
      </c>
      <c r="D18" s="29">
        <v>0</v>
      </c>
      <c r="E18" s="29">
        <v>0</v>
      </c>
      <c r="F18" s="29">
        <v>0</v>
      </c>
      <c r="G18" s="5"/>
      <c r="H18" s="8" t="s">
        <v>269</v>
      </c>
      <c r="I18" s="5" t="s">
        <v>265</v>
      </c>
      <c r="J18" s="7">
        <v>99</v>
      </c>
      <c r="K18" s="62">
        <v>99</v>
      </c>
      <c r="L18" s="206">
        <v>100</v>
      </c>
      <c r="M18" s="62">
        <v>99</v>
      </c>
      <c r="N18" s="62">
        <v>99</v>
      </c>
      <c r="O18" s="7">
        <v>99</v>
      </c>
      <c r="P18" s="7">
        <f>SUM(J18:O18)/6</f>
        <v>99.2</v>
      </c>
      <c r="Q18" s="5">
        <v>2021</v>
      </c>
    </row>
    <row r="19" spans="1:17" ht="51" customHeight="1">
      <c r="A19" s="26" t="s">
        <v>259</v>
      </c>
      <c r="B19" s="29">
        <v>1</v>
      </c>
      <c r="C19" s="29">
        <v>0</v>
      </c>
      <c r="D19" s="29">
        <v>0</v>
      </c>
      <c r="E19" s="29">
        <v>0</v>
      </c>
      <c r="F19" s="29">
        <v>0</v>
      </c>
      <c r="G19" s="5"/>
      <c r="H19" s="8" t="s">
        <v>270</v>
      </c>
      <c r="I19" s="5" t="s">
        <v>265</v>
      </c>
      <c r="J19" s="7">
        <v>100</v>
      </c>
      <c r="K19" s="62">
        <v>100</v>
      </c>
      <c r="L19" s="62">
        <v>100</v>
      </c>
      <c r="M19" s="62">
        <v>100</v>
      </c>
      <c r="N19" s="62">
        <v>100</v>
      </c>
      <c r="O19" s="7">
        <v>100</v>
      </c>
      <c r="P19" s="7">
        <f>SUM(J19:O19)/6</f>
        <v>100</v>
      </c>
      <c r="Q19" s="5">
        <v>2021</v>
      </c>
    </row>
    <row r="20" spans="1:18" ht="25.5">
      <c r="A20" s="73" t="s">
        <v>259</v>
      </c>
      <c r="B20" s="56">
        <v>1</v>
      </c>
      <c r="C20" s="56">
        <v>1</v>
      </c>
      <c r="D20" s="56">
        <v>0</v>
      </c>
      <c r="E20" s="56">
        <v>0</v>
      </c>
      <c r="F20" s="56">
        <v>0</v>
      </c>
      <c r="G20" s="56"/>
      <c r="H20" s="74" t="s">
        <v>106</v>
      </c>
      <c r="I20" s="56" t="s">
        <v>260</v>
      </c>
      <c r="J20" s="57">
        <f aca="true" t="shared" si="3" ref="J20:O20">J21+J22</f>
        <v>2891748.5</v>
      </c>
      <c r="K20" s="57">
        <f t="shared" si="3"/>
        <v>2985052</v>
      </c>
      <c r="L20" s="138">
        <f>L21+L22</f>
        <v>3449946.6</v>
      </c>
      <c r="M20" s="57">
        <f>M21+M22</f>
        <v>3059262.5</v>
      </c>
      <c r="N20" s="57">
        <f>N21+N22</f>
        <v>3161619.6</v>
      </c>
      <c r="O20" s="57">
        <f t="shared" si="3"/>
        <v>3442452</v>
      </c>
      <c r="P20" s="57">
        <f aca="true" t="shared" si="4" ref="P20:P25">J20+K20+L20+M20+N20+O20</f>
        <v>18990081.2</v>
      </c>
      <c r="Q20" s="56">
        <v>2021</v>
      </c>
      <c r="R20" s="199"/>
    </row>
    <row r="21" spans="1:18" ht="12.75">
      <c r="A21" s="26" t="s">
        <v>259</v>
      </c>
      <c r="B21" s="29">
        <v>1</v>
      </c>
      <c r="C21" s="29">
        <v>1</v>
      </c>
      <c r="D21" s="29">
        <v>0</v>
      </c>
      <c r="E21" s="29">
        <v>0</v>
      </c>
      <c r="F21" s="29">
        <v>0</v>
      </c>
      <c r="G21" s="29">
        <v>3</v>
      </c>
      <c r="H21" s="19" t="s">
        <v>261</v>
      </c>
      <c r="I21" s="5" t="s">
        <v>260</v>
      </c>
      <c r="J21" s="7">
        <f aca="true" t="shared" si="5" ref="J21:O21">J24+J64+J92+J115+J131+J153+J178+J193+J207</f>
        <v>866708.9</v>
      </c>
      <c r="K21" s="7">
        <f t="shared" si="5"/>
        <v>886863.5</v>
      </c>
      <c r="L21" s="150">
        <f t="shared" si="5"/>
        <v>1003124.7</v>
      </c>
      <c r="M21" s="99">
        <f t="shared" si="5"/>
        <v>841443.6</v>
      </c>
      <c r="N21" s="99">
        <f t="shared" si="5"/>
        <v>845235.6</v>
      </c>
      <c r="O21" s="7">
        <f t="shared" si="5"/>
        <v>982885.9</v>
      </c>
      <c r="P21" s="63">
        <f t="shared" si="4"/>
        <v>5426262.2</v>
      </c>
      <c r="Q21" s="5">
        <v>2021</v>
      </c>
      <c r="R21" s="199"/>
    </row>
    <row r="22" spans="1:18" ht="12.75">
      <c r="A22" s="26" t="s">
        <v>259</v>
      </c>
      <c r="B22" s="29">
        <v>1</v>
      </c>
      <c r="C22" s="29">
        <v>1</v>
      </c>
      <c r="D22" s="29">
        <v>0</v>
      </c>
      <c r="E22" s="29">
        <v>0</v>
      </c>
      <c r="F22" s="29">
        <v>0</v>
      </c>
      <c r="G22" s="29">
        <v>2</v>
      </c>
      <c r="H22" s="19" t="s">
        <v>262</v>
      </c>
      <c r="I22" s="5" t="s">
        <v>260</v>
      </c>
      <c r="J22" s="7">
        <f aca="true" t="shared" si="6" ref="J22:O22">J25+J65+J93+J179+J194+J208</f>
        <v>2025039.6</v>
      </c>
      <c r="K22" s="7">
        <f t="shared" si="6"/>
        <v>2098188.5</v>
      </c>
      <c r="L22" s="150">
        <f>L25+L65+L93+L179+L194+L208</f>
        <v>2446821.9</v>
      </c>
      <c r="M22" s="7">
        <f>M25+M65+M93+M179+M194+M208</f>
        <v>2217818.9</v>
      </c>
      <c r="N22" s="7">
        <f>N25+N65+N93+N179+N194+N208</f>
        <v>2316384</v>
      </c>
      <c r="O22" s="7">
        <f t="shared" si="6"/>
        <v>2459566.1</v>
      </c>
      <c r="P22" s="63">
        <f t="shared" si="4"/>
        <v>13563819</v>
      </c>
      <c r="Q22" s="5">
        <v>2021</v>
      </c>
      <c r="R22" s="199"/>
    </row>
    <row r="23" spans="1:17" ht="25.5">
      <c r="A23" s="75" t="s">
        <v>259</v>
      </c>
      <c r="B23" s="76">
        <v>1</v>
      </c>
      <c r="C23" s="76">
        <v>1</v>
      </c>
      <c r="D23" s="76">
        <v>1</v>
      </c>
      <c r="E23" s="76">
        <v>0</v>
      </c>
      <c r="F23" s="76">
        <v>0</v>
      </c>
      <c r="G23" s="76"/>
      <c r="H23" s="77" t="s">
        <v>271</v>
      </c>
      <c r="I23" s="76" t="s">
        <v>260</v>
      </c>
      <c r="J23" s="78">
        <f aca="true" t="shared" si="7" ref="J23:O23">J25+J24</f>
        <v>1401555.1</v>
      </c>
      <c r="K23" s="78">
        <f t="shared" si="7"/>
        <v>1483448.3</v>
      </c>
      <c r="L23" s="78">
        <f>L25+L24</f>
        <v>1743128</v>
      </c>
      <c r="M23" s="78">
        <f>M25+M24</f>
        <v>1516701.9</v>
      </c>
      <c r="N23" s="78">
        <f>N25+N24</f>
        <v>1559014</v>
      </c>
      <c r="O23" s="78">
        <f t="shared" si="7"/>
        <v>1630972.8</v>
      </c>
      <c r="P23" s="78">
        <f t="shared" si="4"/>
        <v>9334820.1</v>
      </c>
      <c r="Q23" s="76">
        <v>2021</v>
      </c>
    </row>
    <row r="24" spans="1:28" s="120" customFormat="1" ht="12.75">
      <c r="A24" s="26" t="s">
        <v>259</v>
      </c>
      <c r="B24" s="29">
        <v>1</v>
      </c>
      <c r="C24" s="29">
        <v>1</v>
      </c>
      <c r="D24" s="29">
        <v>1</v>
      </c>
      <c r="E24" s="29">
        <v>0</v>
      </c>
      <c r="F24" s="29">
        <v>0</v>
      </c>
      <c r="G24" s="29">
        <v>3</v>
      </c>
      <c r="H24" s="19" t="s">
        <v>261</v>
      </c>
      <c r="I24" s="29" t="s">
        <v>260</v>
      </c>
      <c r="J24" s="18">
        <f aca="true" t="shared" si="8" ref="J24:O24">J32+J47+J50+J53+J60</f>
        <v>361965.8</v>
      </c>
      <c r="K24" s="18">
        <f t="shared" si="8"/>
        <v>372382.5</v>
      </c>
      <c r="L24" s="148">
        <f>L32+L47+L50+L53+L60</f>
        <v>435457.5</v>
      </c>
      <c r="M24" s="98">
        <f>(M32+M47+M50+M53+M60)</f>
        <v>382406.3</v>
      </c>
      <c r="N24" s="98">
        <f>N32+N47+N50+N53+N60</f>
        <v>381996.5</v>
      </c>
      <c r="O24" s="18">
        <f t="shared" si="8"/>
        <v>394925.9</v>
      </c>
      <c r="P24" s="63">
        <f t="shared" si="4"/>
        <v>2329134.5</v>
      </c>
      <c r="Q24" s="29">
        <v>2021</v>
      </c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</row>
    <row r="25" spans="1:28" s="120" customFormat="1" ht="12.75">
      <c r="A25" s="26" t="s">
        <v>259</v>
      </c>
      <c r="B25" s="29">
        <v>1</v>
      </c>
      <c r="C25" s="29">
        <v>1</v>
      </c>
      <c r="D25" s="29">
        <v>1</v>
      </c>
      <c r="E25" s="29">
        <v>0</v>
      </c>
      <c r="F25" s="29">
        <v>0</v>
      </c>
      <c r="G25" s="29">
        <v>2</v>
      </c>
      <c r="H25" s="19" t="s">
        <v>262</v>
      </c>
      <c r="I25" s="29" t="s">
        <v>260</v>
      </c>
      <c r="J25" s="18">
        <f aca="true" t="shared" si="9" ref="J25:O25">J33+J42+J54</f>
        <v>1039589.3</v>
      </c>
      <c r="K25" s="18">
        <f t="shared" si="9"/>
        <v>1111065.8</v>
      </c>
      <c r="L25" s="148">
        <f>L33+L42+L54</f>
        <v>1307670.5</v>
      </c>
      <c r="M25" s="98">
        <f>M33+M42+M54</f>
        <v>1134295.6</v>
      </c>
      <c r="N25" s="98">
        <f>N33+N42+N54</f>
        <v>1177017.5</v>
      </c>
      <c r="O25" s="18">
        <f t="shared" si="9"/>
        <v>1236046.9</v>
      </c>
      <c r="P25" s="63">
        <f t="shared" si="4"/>
        <v>7005685.6</v>
      </c>
      <c r="Q25" s="29">
        <v>2021</v>
      </c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</row>
    <row r="26" spans="1:17" ht="25.5">
      <c r="A26" s="26" t="s">
        <v>259</v>
      </c>
      <c r="B26" s="29">
        <v>1</v>
      </c>
      <c r="C26" s="29">
        <v>1</v>
      </c>
      <c r="D26" s="29">
        <v>1</v>
      </c>
      <c r="E26" s="29">
        <v>0</v>
      </c>
      <c r="F26" s="29">
        <v>0</v>
      </c>
      <c r="G26" s="5"/>
      <c r="H26" s="8" t="s">
        <v>272</v>
      </c>
      <c r="I26" s="5" t="s">
        <v>265</v>
      </c>
      <c r="J26" s="7">
        <v>33.2</v>
      </c>
      <c r="K26" s="62">
        <v>43.8</v>
      </c>
      <c r="L26" s="62">
        <v>43.9</v>
      </c>
      <c r="M26" s="62">
        <v>43.2</v>
      </c>
      <c r="N26" s="62">
        <v>43.2</v>
      </c>
      <c r="O26" s="7">
        <v>42</v>
      </c>
      <c r="P26" s="7">
        <f>SUM(J26:O26)/6</f>
        <v>41.6</v>
      </c>
      <c r="Q26" s="5">
        <v>2021</v>
      </c>
    </row>
    <row r="27" spans="1:17" ht="63.75">
      <c r="A27" s="26" t="s">
        <v>259</v>
      </c>
      <c r="B27" s="29">
        <v>1</v>
      </c>
      <c r="C27" s="29">
        <v>1</v>
      </c>
      <c r="D27" s="29">
        <v>1</v>
      </c>
      <c r="E27" s="29">
        <v>0</v>
      </c>
      <c r="F27" s="29">
        <v>0</v>
      </c>
      <c r="G27" s="5"/>
      <c r="H27" s="8" t="s">
        <v>273</v>
      </c>
      <c r="I27" s="5" t="s">
        <v>265</v>
      </c>
      <c r="J27" s="7">
        <v>100</v>
      </c>
      <c r="K27" s="62">
        <v>100</v>
      </c>
      <c r="L27" s="62">
        <v>100</v>
      </c>
      <c r="M27" s="62">
        <v>100</v>
      </c>
      <c r="N27" s="62">
        <v>100</v>
      </c>
      <c r="O27" s="7">
        <v>100</v>
      </c>
      <c r="P27" s="7">
        <v>100</v>
      </c>
      <c r="Q27" s="5">
        <v>2021</v>
      </c>
    </row>
    <row r="28" spans="1:17" ht="76.5">
      <c r="A28" s="26" t="s">
        <v>259</v>
      </c>
      <c r="B28" s="29">
        <v>1</v>
      </c>
      <c r="C28" s="29">
        <v>1</v>
      </c>
      <c r="D28" s="29">
        <v>1</v>
      </c>
      <c r="E28" s="29">
        <v>0</v>
      </c>
      <c r="F28" s="29">
        <v>0</v>
      </c>
      <c r="G28" s="5"/>
      <c r="H28" s="8" t="s">
        <v>274</v>
      </c>
      <c r="I28" s="5" t="s">
        <v>265</v>
      </c>
      <c r="J28" s="7">
        <v>100</v>
      </c>
      <c r="K28" s="62">
        <v>100</v>
      </c>
      <c r="L28" s="62">
        <v>100</v>
      </c>
      <c r="M28" s="62">
        <v>100</v>
      </c>
      <c r="N28" s="62">
        <v>100</v>
      </c>
      <c r="O28" s="7">
        <v>100</v>
      </c>
      <c r="P28" s="7">
        <v>100</v>
      </c>
      <c r="Q28" s="5">
        <v>2021</v>
      </c>
    </row>
    <row r="29" spans="1:17" ht="51">
      <c r="A29" s="81" t="s">
        <v>259</v>
      </c>
      <c r="B29" s="82">
        <v>1</v>
      </c>
      <c r="C29" s="82">
        <v>1</v>
      </c>
      <c r="D29" s="82">
        <v>1</v>
      </c>
      <c r="E29" s="82">
        <v>0</v>
      </c>
      <c r="F29" s="82">
        <v>1</v>
      </c>
      <c r="G29" s="83"/>
      <c r="H29" s="84" t="s">
        <v>216</v>
      </c>
      <c r="I29" s="83" t="s">
        <v>275</v>
      </c>
      <c r="J29" s="88" t="s">
        <v>276</v>
      </c>
      <c r="K29" s="88" t="s">
        <v>276</v>
      </c>
      <c r="L29" s="88" t="s">
        <v>276</v>
      </c>
      <c r="M29" s="88" t="s">
        <v>276</v>
      </c>
      <c r="N29" s="88" t="s">
        <v>276</v>
      </c>
      <c r="O29" s="88" t="s">
        <v>276</v>
      </c>
      <c r="P29" s="88" t="s">
        <v>276</v>
      </c>
      <c r="Q29" s="83">
        <v>2021</v>
      </c>
    </row>
    <row r="30" spans="1:17" ht="51">
      <c r="A30" s="26" t="s">
        <v>259</v>
      </c>
      <c r="B30" s="29">
        <v>1</v>
      </c>
      <c r="C30" s="29">
        <v>1</v>
      </c>
      <c r="D30" s="29">
        <v>1</v>
      </c>
      <c r="E30" s="29">
        <v>0</v>
      </c>
      <c r="F30" s="29">
        <v>1</v>
      </c>
      <c r="G30" s="5"/>
      <c r="H30" s="8" t="s">
        <v>277</v>
      </c>
      <c r="I30" s="5" t="s">
        <v>265</v>
      </c>
      <c r="J30" s="7">
        <v>100</v>
      </c>
      <c r="K30" s="7">
        <v>100</v>
      </c>
      <c r="L30" s="62">
        <v>100</v>
      </c>
      <c r="M30" s="62">
        <v>100</v>
      </c>
      <c r="N30" s="62">
        <v>100</v>
      </c>
      <c r="O30" s="7">
        <v>100</v>
      </c>
      <c r="P30" s="7">
        <v>100</v>
      </c>
      <c r="Q30" s="5">
        <v>2021</v>
      </c>
    </row>
    <row r="31" spans="1:28" s="120" customFormat="1" ht="38.25">
      <c r="A31" s="81" t="s">
        <v>259</v>
      </c>
      <c r="B31" s="82">
        <v>1</v>
      </c>
      <c r="C31" s="82">
        <v>1</v>
      </c>
      <c r="D31" s="82">
        <v>1</v>
      </c>
      <c r="E31" s="82">
        <v>0</v>
      </c>
      <c r="F31" s="82">
        <v>2</v>
      </c>
      <c r="G31" s="82"/>
      <c r="H31" s="86" t="s">
        <v>360</v>
      </c>
      <c r="I31" s="82" t="s">
        <v>260</v>
      </c>
      <c r="J31" s="85">
        <f aca="true" t="shared" si="10" ref="J31:O31">J32+J33</f>
        <v>1304560.8</v>
      </c>
      <c r="K31" s="85">
        <f t="shared" si="10"/>
        <v>1386401.7</v>
      </c>
      <c r="L31" s="85">
        <f>L32+L33</f>
        <v>1641825.7</v>
      </c>
      <c r="M31" s="85">
        <f>M32+M33</f>
        <v>1449795.5</v>
      </c>
      <c r="N31" s="85">
        <f>N32+N33</f>
        <v>1492815</v>
      </c>
      <c r="O31" s="85">
        <f t="shared" si="10"/>
        <v>1563914.9</v>
      </c>
      <c r="P31" s="85">
        <f>J31+K31+L31+M31+N31+O31</f>
        <v>8839313.6</v>
      </c>
      <c r="Q31" s="82">
        <v>2021</v>
      </c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</row>
    <row r="32" spans="1:17" s="111" customFormat="1" ht="12.75">
      <c r="A32" s="108" t="s">
        <v>259</v>
      </c>
      <c r="B32" s="109">
        <v>1</v>
      </c>
      <c r="C32" s="109">
        <v>1</v>
      </c>
      <c r="D32" s="109">
        <v>1</v>
      </c>
      <c r="E32" s="109">
        <v>0</v>
      </c>
      <c r="F32" s="109">
        <v>2</v>
      </c>
      <c r="G32" s="109">
        <v>3</v>
      </c>
      <c r="H32" s="115" t="s">
        <v>261</v>
      </c>
      <c r="I32" s="109" t="s">
        <v>260</v>
      </c>
      <c r="J32" s="63">
        <f>350074.9+300-2467.9</f>
        <v>347907</v>
      </c>
      <c r="K32" s="63">
        <f>365379.5-0.07</f>
        <v>365379.4</v>
      </c>
      <c r="L32" s="148">
        <v>428394.5</v>
      </c>
      <c r="M32" s="63">
        <v>370543.6</v>
      </c>
      <c r="N32" s="63">
        <v>370783.8</v>
      </c>
      <c r="O32" s="63">
        <v>382614.2</v>
      </c>
      <c r="P32" s="63">
        <f>SUM(J32:O32)</f>
        <v>2265622.5</v>
      </c>
      <c r="Q32" s="109">
        <v>2021</v>
      </c>
    </row>
    <row r="33" spans="1:17" s="111" customFormat="1" ht="12.75">
      <c r="A33" s="108" t="s">
        <v>259</v>
      </c>
      <c r="B33" s="109">
        <v>1</v>
      </c>
      <c r="C33" s="109">
        <v>1</v>
      </c>
      <c r="D33" s="109">
        <v>1</v>
      </c>
      <c r="E33" s="109">
        <v>0</v>
      </c>
      <c r="F33" s="109">
        <v>2</v>
      </c>
      <c r="G33" s="109">
        <v>2</v>
      </c>
      <c r="H33" s="115" t="s">
        <v>262</v>
      </c>
      <c r="I33" s="109" t="s">
        <v>260</v>
      </c>
      <c r="J33" s="63">
        <v>956653.8</v>
      </c>
      <c r="K33" s="63">
        <f>1011563.8+9458.5</f>
        <v>1021022.3</v>
      </c>
      <c r="L33" s="148">
        <v>1213431.2</v>
      </c>
      <c r="M33" s="63">
        <v>1079251.9</v>
      </c>
      <c r="N33" s="63">
        <v>1122031.2</v>
      </c>
      <c r="O33" s="63">
        <v>1181300.7</v>
      </c>
      <c r="P33" s="63">
        <f>SUM(J33:O33)</f>
        <v>6573691.1</v>
      </c>
      <c r="Q33" s="109">
        <v>2021</v>
      </c>
    </row>
    <row r="34" spans="1:17" s="66" customFormat="1" ht="51">
      <c r="A34" s="108" t="s">
        <v>259</v>
      </c>
      <c r="B34" s="109">
        <v>1</v>
      </c>
      <c r="C34" s="109">
        <v>1</v>
      </c>
      <c r="D34" s="109">
        <v>1</v>
      </c>
      <c r="E34" s="109">
        <v>0</v>
      </c>
      <c r="F34" s="109">
        <v>2</v>
      </c>
      <c r="G34" s="64"/>
      <c r="H34" s="116" t="s">
        <v>278</v>
      </c>
      <c r="I34" s="64" t="s">
        <v>279</v>
      </c>
      <c r="J34" s="60">
        <v>10602</v>
      </c>
      <c r="K34" s="60">
        <v>11344</v>
      </c>
      <c r="L34" s="60">
        <v>11226</v>
      </c>
      <c r="M34" s="60">
        <v>11227</v>
      </c>
      <c r="N34" s="60">
        <v>11227</v>
      </c>
      <c r="O34" s="60">
        <v>10601</v>
      </c>
      <c r="P34" s="60">
        <f>SUM(J34:O34)/6</f>
        <v>11038</v>
      </c>
      <c r="Q34" s="64">
        <v>2021</v>
      </c>
    </row>
    <row r="35" spans="1:17" s="66" customFormat="1" ht="63.75">
      <c r="A35" s="108" t="s">
        <v>259</v>
      </c>
      <c r="B35" s="109">
        <v>1</v>
      </c>
      <c r="C35" s="109">
        <v>1</v>
      </c>
      <c r="D35" s="109">
        <v>1</v>
      </c>
      <c r="E35" s="109">
        <v>0</v>
      </c>
      <c r="F35" s="109">
        <v>2</v>
      </c>
      <c r="G35" s="64"/>
      <c r="H35" s="116" t="s">
        <v>107</v>
      </c>
      <c r="I35" s="64" t="s">
        <v>265</v>
      </c>
      <c r="J35" s="71">
        <f>326736/J9*100</f>
        <v>29.5</v>
      </c>
      <c r="K35" s="71">
        <f>343955.4/K9*100</f>
        <v>28.3</v>
      </c>
      <c r="L35" s="151">
        <f>402987.6/L9*100</f>
        <v>29</v>
      </c>
      <c r="M35" s="71">
        <v>31.2</v>
      </c>
      <c r="N35" s="71">
        <v>30.6</v>
      </c>
      <c r="O35" s="71">
        <f>357517.5/O9*100</f>
        <v>26.4</v>
      </c>
      <c r="P35" s="71">
        <f>SUM(J35:O35)/6</f>
        <v>29.2</v>
      </c>
      <c r="Q35" s="64">
        <v>2021</v>
      </c>
    </row>
    <row r="36" spans="1:17" s="66" customFormat="1" ht="102">
      <c r="A36" s="108" t="s">
        <v>259</v>
      </c>
      <c r="B36" s="109">
        <v>1</v>
      </c>
      <c r="C36" s="109">
        <v>1</v>
      </c>
      <c r="D36" s="109">
        <v>1</v>
      </c>
      <c r="E36" s="109">
        <v>0</v>
      </c>
      <c r="F36" s="109">
        <v>2</v>
      </c>
      <c r="G36" s="117"/>
      <c r="H36" s="116" t="s">
        <v>163</v>
      </c>
      <c r="I36" s="64" t="s">
        <v>260</v>
      </c>
      <c r="J36" s="62">
        <f>J33/(J34+J37)</f>
        <v>85.6</v>
      </c>
      <c r="K36" s="62">
        <v>84.6</v>
      </c>
      <c r="L36" s="152">
        <f>L33/(L34+L37)</f>
        <v>102.3</v>
      </c>
      <c r="M36" s="62">
        <v>91</v>
      </c>
      <c r="N36" s="62">
        <v>94.6</v>
      </c>
      <c r="O36" s="62">
        <f>O33/(O34+O37)</f>
        <v>105.7</v>
      </c>
      <c r="P36" s="62">
        <f>P33/(P34+P37)</f>
        <v>564.1</v>
      </c>
      <c r="Q36" s="64">
        <v>2021</v>
      </c>
    </row>
    <row r="37" spans="1:17" s="112" customFormat="1" ht="76.5">
      <c r="A37" s="108" t="s">
        <v>259</v>
      </c>
      <c r="B37" s="109">
        <v>1</v>
      </c>
      <c r="C37" s="109">
        <v>1</v>
      </c>
      <c r="D37" s="109">
        <v>1</v>
      </c>
      <c r="E37" s="109">
        <v>0</v>
      </c>
      <c r="F37" s="109">
        <v>2</v>
      </c>
      <c r="G37" s="117"/>
      <c r="H37" s="116" t="s">
        <v>164</v>
      </c>
      <c r="I37" s="64" t="s">
        <v>279</v>
      </c>
      <c r="J37" s="60">
        <v>579</v>
      </c>
      <c r="K37" s="60">
        <v>621</v>
      </c>
      <c r="L37" s="60">
        <v>636</v>
      </c>
      <c r="M37" s="60">
        <v>637</v>
      </c>
      <c r="N37" s="60">
        <v>637</v>
      </c>
      <c r="O37" s="60">
        <v>579</v>
      </c>
      <c r="P37" s="60">
        <f>SUM(J37:O37)/6</f>
        <v>615</v>
      </c>
      <c r="Q37" s="64">
        <v>2021</v>
      </c>
    </row>
    <row r="38" spans="1:17" s="112" customFormat="1" ht="89.25">
      <c r="A38" s="108" t="s">
        <v>259</v>
      </c>
      <c r="B38" s="109">
        <v>1</v>
      </c>
      <c r="C38" s="109">
        <v>1</v>
      </c>
      <c r="D38" s="109">
        <v>1</v>
      </c>
      <c r="E38" s="109">
        <v>0</v>
      </c>
      <c r="F38" s="109">
        <v>2</v>
      </c>
      <c r="G38" s="117"/>
      <c r="H38" s="116" t="s">
        <v>108</v>
      </c>
      <c r="I38" s="64" t="s">
        <v>265</v>
      </c>
      <c r="J38" s="71">
        <f>21171/J9*100</f>
        <v>1.9</v>
      </c>
      <c r="K38" s="71">
        <f>21424/K9*100</f>
        <v>1.8</v>
      </c>
      <c r="L38" s="151">
        <f>25406.8/L9*100</f>
        <v>1.8</v>
      </c>
      <c r="M38" s="71">
        <v>1.1</v>
      </c>
      <c r="N38" s="71">
        <v>1.1</v>
      </c>
      <c r="O38" s="71">
        <f>25096.7/O9*100</f>
        <v>1.9</v>
      </c>
      <c r="P38" s="71">
        <f>SUM(J38:O38)/6</f>
        <v>1.6</v>
      </c>
      <c r="Q38" s="64">
        <v>2021</v>
      </c>
    </row>
    <row r="39" spans="1:17" s="112" customFormat="1" ht="63.75">
      <c r="A39" s="108" t="s">
        <v>259</v>
      </c>
      <c r="B39" s="109">
        <v>1</v>
      </c>
      <c r="C39" s="109">
        <v>1</v>
      </c>
      <c r="D39" s="109">
        <v>1</v>
      </c>
      <c r="E39" s="109">
        <v>0</v>
      </c>
      <c r="F39" s="109">
        <v>2</v>
      </c>
      <c r="G39" s="117"/>
      <c r="H39" s="116" t="s">
        <v>134</v>
      </c>
      <c r="I39" s="64" t="s">
        <v>74</v>
      </c>
      <c r="J39" s="71">
        <v>0</v>
      </c>
      <c r="K39" s="62">
        <v>31452.8</v>
      </c>
      <c r="L39" s="153">
        <v>35199.6</v>
      </c>
      <c r="M39" s="62">
        <v>0</v>
      </c>
      <c r="N39" s="62">
        <v>0</v>
      </c>
      <c r="O39" s="62">
        <v>0</v>
      </c>
      <c r="P39" s="62">
        <v>35199.6</v>
      </c>
      <c r="Q39" s="64">
        <v>2018</v>
      </c>
    </row>
    <row r="40" spans="1:17" s="112" customFormat="1" ht="75" customHeight="1">
      <c r="A40" s="108" t="s">
        <v>259</v>
      </c>
      <c r="B40" s="109">
        <v>1</v>
      </c>
      <c r="C40" s="109">
        <v>1</v>
      </c>
      <c r="D40" s="109">
        <v>1</v>
      </c>
      <c r="E40" s="109">
        <v>0</v>
      </c>
      <c r="F40" s="109">
        <v>2</v>
      </c>
      <c r="G40" s="64"/>
      <c r="H40" s="70" t="s">
        <v>124</v>
      </c>
      <c r="I40" s="64" t="s">
        <v>279</v>
      </c>
      <c r="J40" s="65">
        <v>0</v>
      </c>
      <c r="K40" s="60">
        <v>0</v>
      </c>
      <c r="L40" s="197">
        <v>722</v>
      </c>
      <c r="M40" s="65">
        <v>811</v>
      </c>
      <c r="N40" s="65">
        <v>811</v>
      </c>
      <c r="O40" s="65">
        <v>0</v>
      </c>
      <c r="P40" s="60">
        <f aca="true" t="shared" si="11" ref="P40:P50">SUM(J40:O40)</f>
        <v>2344</v>
      </c>
      <c r="Q40" s="64">
        <v>2020</v>
      </c>
    </row>
    <row r="41" spans="1:28" s="120" customFormat="1" ht="76.5">
      <c r="A41" s="81" t="s">
        <v>259</v>
      </c>
      <c r="B41" s="82">
        <v>1</v>
      </c>
      <c r="C41" s="82">
        <v>1</v>
      </c>
      <c r="D41" s="82">
        <v>1</v>
      </c>
      <c r="E41" s="82">
        <v>0</v>
      </c>
      <c r="F41" s="82">
        <v>3</v>
      </c>
      <c r="G41" s="82"/>
      <c r="H41" s="86" t="s">
        <v>361</v>
      </c>
      <c r="I41" s="82" t="s">
        <v>260</v>
      </c>
      <c r="J41" s="85">
        <f aca="true" t="shared" si="12" ref="J41:O41">J42</f>
        <v>82585</v>
      </c>
      <c r="K41" s="85">
        <f>K42</f>
        <v>89695.7</v>
      </c>
      <c r="L41" s="195">
        <f>L42</f>
        <v>94239.3</v>
      </c>
      <c r="M41" s="85">
        <f t="shared" si="12"/>
        <v>55043.7</v>
      </c>
      <c r="N41" s="85">
        <f t="shared" si="12"/>
        <v>54986.3</v>
      </c>
      <c r="O41" s="85">
        <f t="shared" si="12"/>
        <v>54746.2</v>
      </c>
      <c r="P41" s="85">
        <f t="shared" si="11"/>
        <v>431296.2</v>
      </c>
      <c r="Q41" s="82">
        <v>2021</v>
      </c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</row>
    <row r="42" spans="1:28" s="120" customFormat="1" ht="12.75">
      <c r="A42" s="26" t="s">
        <v>259</v>
      </c>
      <c r="B42" s="29">
        <v>1</v>
      </c>
      <c r="C42" s="29">
        <v>1</v>
      </c>
      <c r="D42" s="29">
        <v>1</v>
      </c>
      <c r="E42" s="29">
        <v>0</v>
      </c>
      <c r="F42" s="29">
        <v>3</v>
      </c>
      <c r="G42" s="29">
        <v>2</v>
      </c>
      <c r="H42" s="19" t="s">
        <v>262</v>
      </c>
      <c r="I42" s="29" t="s">
        <v>260</v>
      </c>
      <c r="J42" s="18">
        <f>72635+9950</f>
        <v>82585</v>
      </c>
      <c r="K42" s="63">
        <v>89695.7</v>
      </c>
      <c r="L42" s="196">
        <v>94239.3</v>
      </c>
      <c r="M42" s="63">
        <v>55043.7</v>
      </c>
      <c r="N42" s="63">
        <v>54986.3</v>
      </c>
      <c r="O42" s="18">
        <v>54746.2</v>
      </c>
      <c r="P42" s="63">
        <f t="shared" si="11"/>
        <v>431296.2</v>
      </c>
      <c r="Q42" s="29">
        <v>2021</v>
      </c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</row>
    <row r="43" spans="1:17" ht="76.5">
      <c r="A43" s="26" t="s">
        <v>259</v>
      </c>
      <c r="B43" s="29">
        <v>1</v>
      </c>
      <c r="C43" s="29">
        <v>1</v>
      </c>
      <c r="D43" s="29">
        <v>1</v>
      </c>
      <c r="E43" s="29">
        <v>0</v>
      </c>
      <c r="F43" s="29">
        <v>3</v>
      </c>
      <c r="G43" s="32"/>
      <c r="H43" s="9" t="s">
        <v>165</v>
      </c>
      <c r="I43" s="5" t="s">
        <v>279</v>
      </c>
      <c r="J43" s="3">
        <v>6643</v>
      </c>
      <c r="K43" s="3">
        <f>6540+7</f>
        <v>6547</v>
      </c>
      <c r="L43" s="154">
        <v>6125</v>
      </c>
      <c r="M43" s="60">
        <v>6671</v>
      </c>
      <c r="N43" s="60">
        <v>6671</v>
      </c>
      <c r="O43" s="60">
        <v>6770</v>
      </c>
      <c r="P43" s="3">
        <f t="shared" si="11"/>
        <v>39427</v>
      </c>
      <c r="Q43" s="5">
        <v>2021</v>
      </c>
    </row>
    <row r="44" spans="1:17" ht="76.5">
      <c r="A44" s="26" t="s">
        <v>259</v>
      </c>
      <c r="B44" s="29">
        <v>1</v>
      </c>
      <c r="C44" s="29">
        <v>1</v>
      </c>
      <c r="D44" s="29">
        <v>1</v>
      </c>
      <c r="E44" s="29">
        <v>0</v>
      </c>
      <c r="F44" s="29">
        <v>3</v>
      </c>
      <c r="G44" s="32"/>
      <c r="H44" s="9" t="s">
        <v>166</v>
      </c>
      <c r="I44" s="5" t="s">
        <v>279</v>
      </c>
      <c r="J44" s="3">
        <v>4101</v>
      </c>
      <c r="K44" s="3">
        <f>4412-2</f>
        <v>4410</v>
      </c>
      <c r="L44" s="154">
        <v>4985</v>
      </c>
      <c r="M44" s="60">
        <v>4377</v>
      </c>
      <c r="N44" s="60">
        <v>4377</v>
      </c>
      <c r="O44" s="60">
        <v>4125</v>
      </c>
      <c r="P44" s="3">
        <f t="shared" si="11"/>
        <v>26375</v>
      </c>
      <c r="Q44" s="5">
        <v>2021</v>
      </c>
    </row>
    <row r="45" spans="1:17" ht="76.5">
      <c r="A45" s="26" t="s">
        <v>259</v>
      </c>
      <c r="B45" s="29">
        <v>1</v>
      </c>
      <c r="C45" s="29">
        <v>1</v>
      </c>
      <c r="D45" s="29">
        <v>1</v>
      </c>
      <c r="E45" s="29">
        <v>0</v>
      </c>
      <c r="F45" s="29">
        <v>3</v>
      </c>
      <c r="G45" s="32"/>
      <c r="H45" s="9" t="s">
        <v>167</v>
      </c>
      <c r="I45" s="5" t="s">
        <v>279</v>
      </c>
      <c r="J45" s="1">
        <v>527</v>
      </c>
      <c r="K45" s="67">
        <v>640</v>
      </c>
      <c r="L45" s="155">
        <v>827</v>
      </c>
      <c r="M45" s="67">
        <v>619</v>
      </c>
      <c r="N45" s="67">
        <v>619</v>
      </c>
      <c r="O45" s="67">
        <v>515</v>
      </c>
      <c r="P45" s="3">
        <f t="shared" si="11"/>
        <v>3747</v>
      </c>
      <c r="Q45" s="5">
        <v>2021</v>
      </c>
    </row>
    <row r="46" spans="1:28" s="120" customFormat="1" ht="73.5" customHeight="1">
      <c r="A46" s="95" t="s">
        <v>259</v>
      </c>
      <c r="B46" s="82">
        <v>1</v>
      </c>
      <c r="C46" s="82">
        <v>1</v>
      </c>
      <c r="D46" s="82">
        <v>1</v>
      </c>
      <c r="E46" s="82">
        <v>0</v>
      </c>
      <c r="F46" s="82">
        <v>4</v>
      </c>
      <c r="G46" s="82"/>
      <c r="H46" s="86" t="s">
        <v>362</v>
      </c>
      <c r="I46" s="82" t="s">
        <v>260</v>
      </c>
      <c r="J46" s="85">
        <f aca="true" t="shared" si="13" ref="J46:O46">J47</f>
        <v>2973</v>
      </c>
      <c r="K46" s="85">
        <f>K47</f>
        <v>1543</v>
      </c>
      <c r="L46" s="180">
        <f>L47</f>
        <v>1087.7</v>
      </c>
      <c r="M46" s="85">
        <f t="shared" si="13"/>
        <v>1500.5</v>
      </c>
      <c r="N46" s="85">
        <f t="shared" si="13"/>
        <v>1500.5</v>
      </c>
      <c r="O46" s="85">
        <f t="shared" si="13"/>
        <v>5476.7</v>
      </c>
      <c r="P46" s="85">
        <f t="shared" si="11"/>
        <v>14081.4</v>
      </c>
      <c r="Q46" s="82">
        <v>2021</v>
      </c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</row>
    <row r="47" spans="1:28" s="120" customFormat="1" ht="12.75">
      <c r="A47" s="26" t="s">
        <v>259</v>
      </c>
      <c r="B47" s="29">
        <v>1</v>
      </c>
      <c r="C47" s="29">
        <v>1</v>
      </c>
      <c r="D47" s="29">
        <v>1</v>
      </c>
      <c r="E47" s="29">
        <v>0</v>
      </c>
      <c r="F47" s="29">
        <v>4</v>
      </c>
      <c r="G47" s="29">
        <v>3</v>
      </c>
      <c r="H47" s="19" t="s">
        <v>261</v>
      </c>
      <c r="I47" s="29" t="s">
        <v>260</v>
      </c>
      <c r="J47" s="18">
        <f>2982.9-9.9</f>
        <v>2973</v>
      </c>
      <c r="K47" s="63">
        <v>1543</v>
      </c>
      <c r="L47" s="148">
        <v>1087.7</v>
      </c>
      <c r="M47" s="63">
        <v>1500.5</v>
      </c>
      <c r="N47" s="63">
        <v>1500.5</v>
      </c>
      <c r="O47" s="63">
        <v>5476.7</v>
      </c>
      <c r="P47" s="18">
        <f t="shared" si="11"/>
        <v>14081.4</v>
      </c>
      <c r="Q47" s="29">
        <v>2021</v>
      </c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</row>
    <row r="48" spans="1:17" ht="97.5" customHeight="1">
      <c r="A48" s="26" t="s">
        <v>259</v>
      </c>
      <c r="B48" s="29">
        <v>1</v>
      </c>
      <c r="C48" s="29">
        <v>1</v>
      </c>
      <c r="D48" s="29">
        <v>1</v>
      </c>
      <c r="E48" s="29">
        <v>0</v>
      </c>
      <c r="F48" s="29">
        <v>4</v>
      </c>
      <c r="G48" s="32"/>
      <c r="H48" s="9" t="s">
        <v>30</v>
      </c>
      <c r="I48" s="5" t="s">
        <v>260</v>
      </c>
      <c r="J48" s="7">
        <v>5.4</v>
      </c>
      <c r="K48" s="62">
        <f>1543/273</f>
        <v>5.7</v>
      </c>
      <c r="L48" s="156">
        <v>5.2</v>
      </c>
      <c r="M48" s="62">
        <v>5.5</v>
      </c>
      <c r="N48" s="62">
        <v>5.5</v>
      </c>
      <c r="O48" s="62">
        <v>5.9</v>
      </c>
      <c r="P48" s="7">
        <f t="shared" si="11"/>
        <v>33.2</v>
      </c>
      <c r="Q48" s="5">
        <v>2021</v>
      </c>
    </row>
    <row r="49" spans="1:28" s="120" customFormat="1" ht="95.25" customHeight="1">
      <c r="A49" s="95" t="s">
        <v>259</v>
      </c>
      <c r="B49" s="82">
        <v>1</v>
      </c>
      <c r="C49" s="82">
        <v>1</v>
      </c>
      <c r="D49" s="82">
        <v>1</v>
      </c>
      <c r="E49" s="82">
        <v>0</v>
      </c>
      <c r="F49" s="82">
        <v>5</v>
      </c>
      <c r="G49" s="82"/>
      <c r="H49" s="96" t="s">
        <v>363</v>
      </c>
      <c r="I49" s="82" t="s">
        <v>260</v>
      </c>
      <c r="J49" s="85">
        <f aca="true" t="shared" si="14" ref="J49:O49">J50</f>
        <v>3594.2</v>
      </c>
      <c r="K49" s="85">
        <f>K50</f>
        <v>3700.5</v>
      </c>
      <c r="L49" s="85">
        <f>L50</f>
        <v>3700.5</v>
      </c>
      <c r="M49" s="85">
        <f t="shared" si="14"/>
        <v>4162.2</v>
      </c>
      <c r="N49" s="85">
        <f t="shared" si="14"/>
        <v>4162.2</v>
      </c>
      <c r="O49" s="85">
        <f t="shared" si="14"/>
        <v>3950.2</v>
      </c>
      <c r="P49" s="85">
        <f t="shared" si="11"/>
        <v>23269.8</v>
      </c>
      <c r="Q49" s="82">
        <v>2021</v>
      </c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</row>
    <row r="50" spans="1:28" s="120" customFormat="1" ht="12.75">
      <c r="A50" s="26" t="s">
        <v>259</v>
      </c>
      <c r="B50" s="29">
        <v>1</v>
      </c>
      <c r="C50" s="29">
        <v>1</v>
      </c>
      <c r="D50" s="29">
        <v>1</v>
      </c>
      <c r="E50" s="29">
        <v>0</v>
      </c>
      <c r="F50" s="29">
        <v>5</v>
      </c>
      <c r="G50" s="29">
        <v>3</v>
      </c>
      <c r="H50" s="19" t="s">
        <v>261</v>
      </c>
      <c r="I50" s="29" t="s">
        <v>260</v>
      </c>
      <c r="J50" s="18">
        <v>3594.2</v>
      </c>
      <c r="K50" s="63">
        <f>3700.5</f>
        <v>3700.5</v>
      </c>
      <c r="L50" s="63">
        <v>3700.5</v>
      </c>
      <c r="M50" s="63">
        <v>4162.2</v>
      </c>
      <c r="N50" s="63">
        <v>4162.2</v>
      </c>
      <c r="O50" s="18">
        <v>3950.2</v>
      </c>
      <c r="P50" s="18">
        <f t="shared" si="11"/>
        <v>23269.8</v>
      </c>
      <c r="Q50" s="29">
        <v>2021</v>
      </c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</row>
    <row r="51" spans="1:17" ht="51">
      <c r="A51" s="26" t="s">
        <v>259</v>
      </c>
      <c r="B51" s="29">
        <v>1</v>
      </c>
      <c r="C51" s="29">
        <v>1</v>
      </c>
      <c r="D51" s="29">
        <v>1</v>
      </c>
      <c r="E51" s="29">
        <v>0</v>
      </c>
      <c r="F51" s="29">
        <v>5</v>
      </c>
      <c r="G51" s="32"/>
      <c r="H51" s="9" t="s">
        <v>280</v>
      </c>
      <c r="I51" s="5" t="s">
        <v>279</v>
      </c>
      <c r="J51" s="1">
        <v>174</v>
      </c>
      <c r="K51" s="67">
        <v>195</v>
      </c>
      <c r="L51" s="67">
        <v>184</v>
      </c>
      <c r="M51" s="67">
        <v>197</v>
      </c>
      <c r="N51" s="67">
        <v>197</v>
      </c>
      <c r="O51" s="1">
        <v>174</v>
      </c>
      <c r="P51" s="60">
        <f>SUM(J51:O51)/6</f>
        <v>187</v>
      </c>
      <c r="Q51" s="5">
        <v>2021</v>
      </c>
    </row>
    <row r="52" spans="1:28" s="120" customFormat="1" ht="63.75">
      <c r="A52" s="95" t="s">
        <v>259</v>
      </c>
      <c r="B52" s="82">
        <v>1</v>
      </c>
      <c r="C52" s="82">
        <v>1</v>
      </c>
      <c r="D52" s="82">
        <v>1</v>
      </c>
      <c r="E52" s="82">
        <v>0</v>
      </c>
      <c r="F52" s="82">
        <v>6</v>
      </c>
      <c r="G52" s="82"/>
      <c r="H52" s="86" t="s">
        <v>364</v>
      </c>
      <c r="I52" s="82" t="s">
        <v>260</v>
      </c>
      <c r="J52" s="85">
        <f aca="true" t="shared" si="15" ref="J52:O52">J53+J54</f>
        <v>7817.1</v>
      </c>
      <c r="K52" s="85">
        <f t="shared" si="15"/>
        <v>2082.4</v>
      </c>
      <c r="L52" s="180">
        <f>L53+L54</f>
        <v>2249.8</v>
      </c>
      <c r="M52" s="85">
        <f>M53+M54</f>
        <v>6175</v>
      </c>
      <c r="N52" s="85">
        <f>N53+N54</f>
        <v>5525</v>
      </c>
      <c r="O52" s="85">
        <f t="shared" si="15"/>
        <v>2857.4</v>
      </c>
      <c r="P52" s="85">
        <f>SUM(J52:O52)</f>
        <v>26706.7</v>
      </c>
      <c r="Q52" s="82">
        <v>2021</v>
      </c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</row>
    <row r="53" spans="1:17" s="111" customFormat="1" ht="12.75">
      <c r="A53" s="108" t="s">
        <v>259</v>
      </c>
      <c r="B53" s="109">
        <v>1</v>
      </c>
      <c r="C53" s="109">
        <v>1</v>
      </c>
      <c r="D53" s="109">
        <v>1</v>
      </c>
      <c r="E53" s="109">
        <v>0</v>
      </c>
      <c r="F53" s="109">
        <v>6</v>
      </c>
      <c r="G53" s="109">
        <v>3</v>
      </c>
      <c r="H53" s="115" t="s">
        <v>261</v>
      </c>
      <c r="I53" s="109" t="s">
        <v>260</v>
      </c>
      <c r="J53" s="63">
        <v>7466.6</v>
      </c>
      <c r="K53" s="63">
        <v>1734.6</v>
      </c>
      <c r="L53" s="148">
        <v>2249.8</v>
      </c>
      <c r="M53" s="63">
        <v>6175</v>
      </c>
      <c r="N53" s="63">
        <v>5525</v>
      </c>
      <c r="O53" s="63">
        <v>2857.4</v>
      </c>
      <c r="P53" s="63">
        <f>SUM(J53:O53)</f>
        <v>26008.4</v>
      </c>
      <c r="Q53" s="109">
        <v>2021</v>
      </c>
    </row>
    <row r="54" spans="1:28" s="120" customFormat="1" ht="12.75">
      <c r="A54" s="26" t="s">
        <v>259</v>
      </c>
      <c r="B54" s="29">
        <v>1</v>
      </c>
      <c r="C54" s="29">
        <v>1</v>
      </c>
      <c r="D54" s="29">
        <v>1</v>
      </c>
      <c r="E54" s="29">
        <v>0</v>
      </c>
      <c r="F54" s="29">
        <v>6</v>
      </c>
      <c r="G54" s="29">
        <v>2</v>
      </c>
      <c r="H54" s="19" t="s">
        <v>262</v>
      </c>
      <c r="I54" s="29" t="s">
        <v>260</v>
      </c>
      <c r="J54" s="18">
        <v>350.5</v>
      </c>
      <c r="K54" s="63">
        <v>347.8</v>
      </c>
      <c r="L54" s="63">
        <v>0</v>
      </c>
      <c r="M54" s="63">
        <v>0</v>
      </c>
      <c r="N54" s="63">
        <v>0</v>
      </c>
      <c r="O54" s="18">
        <v>0</v>
      </c>
      <c r="P54" s="63">
        <f>SUM(J54:O54)</f>
        <v>698.3</v>
      </c>
      <c r="Q54" s="29">
        <v>2017</v>
      </c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</row>
    <row r="55" spans="1:17" ht="51">
      <c r="A55" s="26" t="s">
        <v>259</v>
      </c>
      <c r="B55" s="29">
        <v>1</v>
      </c>
      <c r="C55" s="29">
        <v>1</v>
      </c>
      <c r="D55" s="29">
        <v>1</v>
      </c>
      <c r="E55" s="29">
        <v>0</v>
      </c>
      <c r="F55" s="29">
        <v>6</v>
      </c>
      <c r="G55" s="29"/>
      <c r="H55" s="9" t="s">
        <v>64</v>
      </c>
      <c r="I55" s="5" t="s">
        <v>31</v>
      </c>
      <c r="J55" s="3">
        <v>2</v>
      </c>
      <c r="K55" s="60">
        <v>4</v>
      </c>
      <c r="L55" s="60">
        <v>3</v>
      </c>
      <c r="M55" s="60">
        <v>7</v>
      </c>
      <c r="N55" s="60">
        <v>6</v>
      </c>
      <c r="O55" s="3">
        <v>4</v>
      </c>
      <c r="P55" s="3">
        <f>SUM(J55:O55)</f>
        <v>26</v>
      </c>
      <c r="Q55" s="5">
        <v>2021</v>
      </c>
    </row>
    <row r="56" spans="1:17" ht="51">
      <c r="A56" s="26" t="s">
        <v>259</v>
      </c>
      <c r="B56" s="29">
        <v>1</v>
      </c>
      <c r="C56" s="29">
        <v>1</v>
      </c>
      <c r="D56" s="29">
        <v>1</v>
      </c>
      <c r="E56" s="29">
        <v>0</v>
      </c>
      <c r="F56" s="29">
        <v>6</v>
      </c>
      <c r="G56" s="29"/>
      <c r="H56" s="9" t="s">
        <v>402</v>
      </c>
      <c r="I56" s="5" t="s">
        <v>31</v>
      </c>
      <c r="J56" s="3">
        <v>5</v>
      </c>
      <c r="K56" s="60">
        <v>2</v>
      </c>
      <c r="L56" s="60">
        <v>0</v>
      </c>
      <c r="M56" s="60">
        <v>5</v>
      </c>
      <c r="N56" s="60">
        <v>5</v>
      </c>
      <c r="O56" s="3">
        <v>5</v>
      </c>
      <c r="P56" s="3">
        <v>5</v>
      </c>
      <c r="Q56" s="5">
        <v>2021</v>
      </c>
    </row>
    <row r="57" spans="1:17" ht="51">
      <c r="A57" s="26" t="s">
        <v>259</v>
      </c>
      <c r="B57" s="29">
        <v>1</v>
      </c>
      <c r="C57" s="29">
        <v>1</v>
      </c>
      <c r="D57" s="29">
        <v>1</v>
      </c>
      <c r="E57" s="29">
        <v>0</v>
      </c>
      <c r="F57" s="29">
        <v>6</v>
      </c>
      <c r="G57" s="29"/>
      <c r="H57" s="9" t="s">
        <v>63</v>
      </c>
      <c r="I57" s="5" t="s">
        <v>31</v>
      </c>
      <c r="J57" s="3">
        <v>8</v>
      </c>
      <c r="K57" s="3">
        <v>2</v>
      </c>
      <c r="L57" s="60">
        <v>29</v>
      </c>
      <c r="M57" s="60">
        <v>32</v>
      </c>
      <c r="N57" s="60">
        <v>32</v>
      </c>
      <c r="O57" s="3">
        <v>32</v>
      </c>
      <c r="P57" s="3">
        <v>32</v>
      </c>
      <c r="Q57" s="5">
        <v>2021</v>
      </c>
    </row>
    <row r="58" spans="1:17" ht="76.5">
      <c r="A58" s="26" t="s">
        <v>259</v>
      </c>
      <c r="B58" s="29">
        <v>1</v>
      </c>
      <c r="C58" s="29">
        <v>1</v>
      </c>
      <c r="D58" s="29">
        <v>1</v>
      </c>
      <c r="E58" s="29">
        <v>0</v>
      </c>
      <c r="F58" s="29">
        <v>6</v>
      </c>
      <c r="G58" s="64"/>
      <c r="H58" s="9" t="s">
        <v>75</v>
      </c>
      <c r="I58" s="5" t="s">
        <v>290</v>
      </c>
      <c r="J58" s="1">
        <v>28</v>
      </c>
      <c r="K58" s="1">
        <v>8</v>
      </c>
      <c r="L58" s="67">
        <v>0</v>
      </c>
      <c r="M58" s="67">
        <v>0</v>
      </c>
      <c r="N58" s="67">
        <v>0</v>
      </c>
      <c r="O58" s="1">
        <v>0</v>
      </c>
      <c r="P58" s="1">
        <v>28</v>
      </c>
      <c r="Q58" s="1">
        <v>2017</v>
      </c>
    </row>
    <row r="59" spans="1:28" s="120" customFormat="1" ht="63.75">
      <c r="A59" s="81" t="s">
        <v>259</v>
      </c>
      <c r="B59" s="82">
        <v>1</v>
      </c>
      <c r="C59" s="82">
        <v>1</v>
      </c>
      <c r="D59" s="82">
        <v>1</v>
      </c>
      <c r="E59" s="82">
        <v>0</v>
      </c>
      <c r="F59" s="82">
        <v>7</v>
      </c>
      <c r="G59" s="82"/>
      <c r="H59" s="86" t="s">
        <v>365</v>
      </c>
      <c r="I59" s="82" t="s">
        <v>260</v>
      </c>
      <c r="J59" s="85">
        <f>J60</f>
        <v>25</v>
      </c>
      <c r="K59" s="85">
        <f aca="true" t="shared" si="16" ref="K59:P59">K60</f>
        <v>25</v>
      </c>
      <c r="L59" s="85">
        <f t="shared" si="16"/>
        <v>25</v>
      </c>
      <c r="M59" s="85">
        <f t="shared" si="16"/>
        <v>25</v>
      </c>
      <c r="N59" s="85">
        <f t="shared" si="16"/>
        <v>25</v>
      </c>
      <c r="O59" s="85">
        <f t="shared" si="16"/>
        <v>27.4</v>
      </c>
      <c r="P59" s="85">
        <f t="shared" si="16"/>
        <v>152.4</v>
      </c>
      <c r="Q59" s="82">
        <v>2021</v>
      </c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</row>
    <row r="60" spans="1:28" s="120" customFormat="1" ht="12.75">
      <c r="A60" s="26" t="s">
        <v>259</v>
      </c>
      <c r="B60" s="29">
        <v>1</v>
      </c>
      <c r="C60" s="29">
        <v>1</v>
      </c>
      <c r="D60" s="29">
        <v>1</v>
      </c>
      <c r="E60" s="29">
        <v>0</v>
      </c>
      <c r="F60" s="29">
        <v>7</v>
      </c>
      <c r="G60" s="29">
        <v>3</v>
      </c>
      <c r="H60" s="19" t="s">
        <v>261</v>
      </c>
      <c r="I60" s="29" t="s">
        <v>260</v>
      </c>
      <c r="J60" s="18">
        <v>25</v>
      </c>
      <c r="K60" s="63">
        <v>25</v>
      </c>
      <c r="L60" s="63">
        <v>25</v>
      </c>
      <c r="M60" s="63">
        <v>25</v>
      </c>
      <c r="N60" s="63">
        <v>25</v>
      </c>
      <c r="O60" s="18">
        <v>27.4</v>
      </c>
      <c r="P60" s="63">
        <f>SUM(J60:O60)</f>
        <v>152.4</v>
      </c>
      <c r="Q60" s="29">
        <v>2021</v>
      </c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</row>
    <row r="61" spans="1:17" ht="76.5">
      <c r="A61" s="26" t="s">
        <v>259</v>
      </c>
      <c r="B61" s="29">
        <v>1</v>
      </c>
      <c r="C61" s="29">
        <v>1</v>
      </c>
      <c r="D61" s="29">
        <v>1</v>
      </c>
      <c r="E61" s="29">
        <v>0</v>
      </c>
      <c r="F61" s="29">
        <v>7</v>
      </c>
      <c r="G61" s="5"/>
      <c r="H61" s="9" t="s">
        <v>282</v>
      </c>
      <c r="I61" s="5" t="s">
        <v>265</v>
      </c>
      <c r="J61" s="7">
        <v>7</v>
      </c>
      <c r="K61" s="7">
        <v>3</v>
      </c>
      <c r="L61" s="62">
        <v>3</v>
      </c>
      <c r="M61" s="62">
        <v>3</v>
      </c>
      <c r="N61" s="62">
        <v>3</v>
      </c>
      <c r="O61" s="7">
        <v>3</v>
      </c>
      <c r="P61" s="7">
        <v>3</v>
      </c>
      <c r="Q61" s="5">
        <v>2021</v>
      </c>
    </row>
    <row r="62" spans="1:17" ht="63.75">
      <c r="A62" s="26" t="s">
        <v>259</v>
      </c>
      <c r="B62" s="29">
        <v>1</v>
      </c>
      <c r="C62" s="29">
        <v>1</v>
      </c>
      <c r="D62" s="29">
        <v>1</v>
      </c>
      <c r="E62" s="29">
        <v>0</v>
      </c>
      <c r="F62" s="29">
        <v>7</v>
      </c>
      <c r="G62" s="5"/>
      <c r="H62" s="9" t="s">
        <v>68</v>
      </c>
      <c r="I62" s="5" t="s">
        <v>290</v>
      </c>
      <c r="J62" s="10">
        <v>0</v>
      </c>
      <c r="K62" s="10">
        <v>0</v>
      </c>
      <c r="L62" s="65">
        <v>3</v>
      </c>
      <c r="M62" s="65">
        <v>3</v>
      </c>
      <c r="N62" s="65">
        <v>2</v>
      </c>
      <c r="O62" s="10">
        <v>3</v>
      </c>
      <c r="P62" s="10">
        <f>SUM(J62:O62)</f>
        <v>11</v>
      </c>
      <c r="Q62" s="5">
        <v>2021</v>
      </c>
    </row>
    <row r="63" spans="1:28" s="120" customFormat="1" ht="33" customHeight="1">
      <c r="A63" s="79" t="s">
        <v>259</v>
      </c>
      <c r="B63" s="76">
        <v>1</v>
      </c>
      <c r="C63" s="76">
        <v>1</v>
      </c>
      <c r="D63" s="76">
        <v>2</v>
      </c>
      <c r="E63" s="76">
        <v>0</v>
      </c>
      <c r="F63" s="76">
        <v>0</v>
      </c>
      <c r="G63" s="76"/>
      <c r="H63" s="77" t="s">
        <v>283</v>
      </c>
      <c r="I63" s="76" t="s">
        <v>260</v>
      </c>
      <c r="J63" s="78">
        <f aca="true" t="shared" si="17" ref="J63:O63">J64+J65</f>
        <v>1267029.1</v>
      </c>
      <c r="K63" s="78">
        <f t="shared" si="17"/>
        <v>1278139.6</v>
      </c>
      <c r="L63" s="181">
        <f>L64+L65</f>
        <v>1436722.5</v>
      </c>
      <c r="M63" s="78">
        <f>M64+M65</f>
        <v>1313142.8</v>
      </c>
      <c r="N63" s="78">
        <f>N64+N65</f>
        <v>1373187.8</v>
      </c>
      <c r="O63" s="78">
        <f t="shared" si="17"/>
        <v>1536139</v>
      </c>
      <c r="P63" s="78">
        <f>J63+K63+L63+M63+N63+O63</f>
        <v>8204360.8</v>
      </c>
      <c r="Q63" s="76">
        <v>2021</v>
      </c>
      <c r="R63" s="198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</row>
    <row r="64" spans="1:28" s="120" customFormat="1" ht="12.75">
      <c r="A64" s="33" t="s">
        <v>259</v>
      </c>
      <c r="B64" s="29">
        <v>1</v>
      </c>
      <c r="C64" s="29">
        <v>1</v>
      </c>
      <c r="D64" s="29">
        <v>2</v>
      </c>
      <c r="E64" s="29">
        <v>0</v>
      </c>
      <c r="F64" s="29">
        <v>0</v>
      </c>
      <c r="G64" s="29">
        <v>3</v>
      </c>
      <c r="H64" s="19" t="s">
        <v>261</v>
      </c>
      <c r="I64" s="29" t="s">
        <v>260</v>
      </c>
      <c r="J64" s="18">
        <v>298339.8</v>
      </c>
      <c r="K64" s="18">
        <f>K72+K81+K86</f>
        <v>300286.1</v>
      </c>
      <c r="L64" s="148">
        <f>L72+L81+L86</f>
        <v>330533.9</v>
      </c>
      <c r="M64" s="98">
        <f>M72+M81+M86</f>
        <v>232060.8</v>
      </c>
      <c r="N64" s="98">
        <f>N72+N81+N86</f>
        <v>236262.6</v>
      </c>
      <c r="O64" s="18">
        <f>O72+O81+O86</f>
        <v>348134.6</v>
      </c>
      <c r="P64" s="63">
        <f>J64+K64+L64+M64+N64+O64</f>
        <v>1745617.8</v>
      </c>
      <c r="Q64" s="29">
        <v>2021</v>
      </c>
      <c r="R64" s="198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</row>
    <row r="65" spans="1:28" s="120" customFormat="1" ht="12.75">
      <c r="A65" s="33" t="s">
        <v>259</v>
      </c>
      <c r="B65" s="29">
        <v>1</v>
      </c>
      <c r="C65" s="29">
        <v>1</v>
      </c>
      <c r="D65" s="29">
        <v>2</v>
      </c>
      <c r="E65" s="29">
        <v>0</v>
      </c>
      <c r="F65" s="29">
        <v>0</v>
      </c>
      <c r="G65" s="29">
        <v>2</v>
      </c>
      <c r="H65" s="19" t="s">
        <v>262</v>
      </c>
      <c r="I65" s="29" t="s">
        <v>260</v>
      </c>
      <c r="J65" s="18">
        <f aca="true" t="shared" si="18" ref="J65:O65">J73</f>
        <v>968689.3</v>
      </c>
      <c r="K65" s="18">
        <f t="shared" si="18"/>
        <v>977853.5</v>
      </c>
      <c r="L65" s="148">
        <f>L73+L87</f>
        <v>1106188.6</v>
      </c>
      <c r="M65" s="98">
        <f>M73</f>
        <v>1081082</v>
      </c>
      <c r="N65" s="98">
        <f>N73</f>
        <v>1136925.2</v>
      </c>
      <c r="O65" s="18">
        <f t="shared" si="18"/>
        <v>1188004.4</v>
      </c>
      <c r="P65" s="63">
        <f>J65+K65+L65+M65+N65+O65</f>
        <v>6458743</v>
      </c>
      <c r="Q65" s="29">
        <v>2021</v>
      </c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</row>
    <row r="66" spans="1:17" s="66" customFormat="1" ht="89.25">
      <c r="A66" s="108" t="s">
        <v>259</v>
      </c>
      <c r="B66" s="109">
        <v>1</v>
      </c>
      <c r="C66" s="109">
        <v>1</v>
      </c>
      <c r="D66" s="109">
        <v>2</v>
      </c>
      <c r="E66" s="109">
        <v>0</v>
      </c>
      <c r="F66" s="109">
        <v>0</v>
      </c>
      <c r="G66" s="64"/>
      <c r="H66" s="70" t="s">
        <v>135</v>
      </c>
      <c r="I66" s="64" t="s">
        <v>265</v>
      </c>
      <c r="J66" s="62">
        <v>98.6</v>
      </c>
      <c r="K66" s="62">
        <v>99.6</v>
      </c>
      <c r="L66" s="62">
        <v>100</v>
      </c>
      <c r="M66" s="62">
        <v>99.6</v>
      </c>
      <c r="N66" s="62">
        <v>99.6</v>
      </c>
      <c r="O66" s="62">
        <v>99.6</v>
      </c>
      <c r="P66" s="62">
        <f>SUM(J66:O66)/6</f>
        <v>99.5</v>
      </c>
      <c r="Q66" s="64">
        <v>2021</v>
      </c>
    </row>
    <row r="67" spans="1:17" s="66" customFormat="1" ht="89.25">
      <c r="A67" s="108" t="s">
        <v>259</v>
      </c>
      <c r="B67" s="109">
        <v>1</v>
      </c>
      <c r="C67" s="109">
        <v>1</v>
      </c>
      <c r="D67" s="109">
        <v>2</v>
      </c>
      <c r="E67" s="109">
        <v>0</v>
      </c>
      <c r="F67" s="109">
        <v>0</v>
      </c>
      <c r="G67" s="64"/>
      <c r="H67" s="70" t="s">
        <v>136</v>
      </c>
      <c r="I67" s="64" t="s">
        <v>265</v>
      </c>
      <c r="J67" s="62">
        <v>93.6</v>
      </c>
      <c r="K67" s="62">
        <v>95.2</v>
      </c>
      <c r="L67" s="62">
        <v>99.1</v>
      </c>
      <c r="M67" s="62">
        <v>99.2</v>
      </c>
      <c r="N67" s="62">
        <v>99.4</v>
      </c>
      <c r="O67" s="62">
        <v>95.2</v>
      </c>
      <c r="P67" s="62">
        <f>SUM(J67:O67)/6</f>
        <v>97</v>
      </c>
      <c r="Q67" s="64">
        <v>2021</v>
      </c>
    </row>
    <row r="68" spans="1:17" ht="63.75">
      <c r="A68" s="26" t="s">
        <v>259</v>
      </c>
      <c r="B68" s="29">
        <v>1</v>
      </c>
      <c r="C68" s="29">
        <v>1</v>
      </c>
      <c r="D68" s="29">
        <v>2</v>
      </c>
      <c r="E68" s="29">
        <v>0</v>
      </c>
      <c r="F68" s="29">
        <v>0</v>
      </c>
      <c r="G68" s="5"/>
      <c r="H68" s="8" t="s">
        <v>284</v>
      </c>
      <c r="I68" s="5" t="s">
        <v>265</v>
      </c>
      <c r="J68" s="7">
        <v>100</v>
      </c>
      <c r="K68" s="62">
        <v>100</v>
      </c>
      <c r="L68" s="62">
        <v>100</v>
      </c>
      <c r="M68" s="62">
        <v>100</v>
      </c>
      <c r="N68" s="62">
        <v>100</v>
      </c>
      <c r="O68" s="7">
        <v>100</v>
      </c>
      <c r="P68" s="7">
        <v>100</v>
      </c>
      <c r="Q68" s="5">
        <v>2021</v>
      </c>
    </row>
    <row r="69" spans="1:17" ht="51">
      <c r="A69" s="81" t="s">
        <v>259</v>
      </c>
      <c r="B69" s="82">
        <v>1</v>
      </c>
      <c r="C69" s="82">
        <v>1</v>
      </c>
      <c r="D69" s="82">
        <v>2</v>
      </c>
      <c r="E69" s="82">
        <v>0</v>
      </c>
      <c r="F69" s="82">
        <v>1</v>
      </c>
      <c r="G69" s="83"/>
      <c r="H69" s="86" t="s">
        <v>217</v>
      </c>
      <c r="I69" s="83" t="s">
        <v>275</v>
      </c>
      <c r="J69" s="88" t="s">
        <v>276</v>
      </c>
      <c r="K69" s="88" t="s">
        <v>276</v>
      </c>
      <c r="L69" s="88" t="s">
        <v>276</v>
      </c>
      <c r="M69" s="88" t="s">
        <v>276</v>
      </c>
      <c r="N69" s="88" t="s">
        <v>276</v>
      </c>
      <c r="O69" s="88" t="s">
        <v>276</v>
      </c>
      <c r="P69" s="88" t="s">
        <v>276</v>
      </c>
      <c r="Q69" s="83">
        <v>2021</v>
      </c>
    </row>
    <row r="70" spans="1:17" ht="51">
      <c r="A70" s="26" t="s">
        <v>259</v>
      </c>
      <c r="B70" s="29">
        <v>1</v>
      </c>
      <c r="C70" s="29">
        <v>1</v>
      </c>
      <c r="D70" s="29">
        <v>2</v>
      </c>
      <c r="E70" s="29">
        <v>0</v>
      </c>
      <c r="F70" s="29">
        <v>1</v>
      </c>
      <c r="G70" s="5"/>
      <c r="H70" s="8" t="s">
        <v>285</v>
      </c>
      <c r="I70" s="5" t="s">
        <v>265</v>
      </c>
      <c r="J70" s="7">
        <v>100</v>
      </c>
      <c r="K70" s="7">
        <v>100</v>
      </c>
      <c r="L70" s="62">
        <v>100</v>
      </c>
      <c r="M70" s="62">
        <v>100</v>
      </c>
      <c r="N70" s="62">
        <v>100</v>
      </c>
      <c r="O70" s="7">
        <v>100</v>
      </c>
      <c r="P70" s="7">
        <v>100</v>
      </c>
      <c r="Q70" s="5">
        <v>2021</v>
      </c>
    </row>
    <row r="71" spans="1:28" s="120" customFormat="1" ht="60.75" customHeight="1">
      <c r="A71" s="81" t="s">
        <v>259</v>
      </c>
      <c r="B71" s="82">
        <v>1</v>
      </c>
      <c r="C71" s="82">
        <v>1</v>
      </c>
      <c r="D71" s="82">
        <v>2</v>
      </c>
      <c r="E71" s="82">
        <v>0</v>
      </c>
      <c r="F71" s="82">
        <v>2</v>
      </c>
      <c r="G71" s="82"/>
      <c r="H71" s="86" t="s">
        <v>366</v>
      </c>
      <c r="I71" s="82" t="s">
        <v>260</v>
      </c>
      <c r="J71" s="85">
        <f aca="true" t="shared" si="19" ref="J71:O71">J72+J73</f>
        <v>1251949.6</v>
      </c>
      <c r="K71" s="85">
        <f t="shared" si="19"/>
        <v>1249414</v>
      </c>
      <c r="L71" s="180">
        <f>L72+L73</f>
        <v>1405865.5</v>
      </c>
      <c r="M71" s="85">
        <f>M72+M73</f>
        <v>1282626.9</v>
      </c>
      <c r="N71" s="85">
        <f>N72+N73</f>
        <v>1342021.9</v>
      </c>
      <c r="O71" s="85">
        <f t="shared" si="19"/>
        <v>1529145.8</v>
      </c>
      <c r="P71" s="85">
        <f>SUM(J71:O71)</f>
        <v>8061023.7</v>
      </c>
      <c r="Q71" s="82">
        <v>2021</v>
      </c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</row>
    <row r="72" spans="1:17" s="121" customFormat="1" ht="12.75">
      <c r="A72" s="108" t="s">
        <v>259</v>
      </c>
      <c r="B72" s="109">
        <v>1</v>
      </c>
      <c r="C72" s="109">
        <v>1</v>
      </c>
      <c r="D72" s="109">
        <v>2</v>
      </c>
      <c r="E72" s="109">
        <v>0</v>
      </c>
      <c r="F72" s="109">
        <v>2</v>
      </c>
      <c r="G72" s="109">
        <v>3</v>
      </c>
      <c r="H72" s="115" t="s">
        <v>261</v>
      </c>
      <c r="I72" s="109" t="s">
        <v>260</v>
      </c>
      <c r="J72" s="63">
        <f>288484.2-5223.9</f>
        <v>283260.3</v>
      </c>
      <c r="K72" s="63">
        <f>271560.6-0.06</f>
        <v>271560.5</v>
      </c>
      <c r="L72" s="148">
        <v>300108.5</v>
      </c>
      <c r="M72" s="63">
        <v>201544.9</v>
      </c>
      <c r="N72" s="63">
        <v>205096.7</v>
      </c>
      <c r="O72" s="63">
        <v>341141.4</v>
      </c>
      <c r="P72" s="63">
        <f>SUM(J72:O72)</f>
        <v>1602712.3</v>
      </c>
      <c r="Q72" s="109">
        <v>2021</v>
      </c>
    </row>
    <row r="73" spans="1:17" s="121" customFormat="1" ht="12.75">
      <c r="A73" s="108" t="s">
        <v>259</v>
      </c>
      <c r="B73" s="109">
        <v>1</v>
      </c>
      <c r="C73" s="109">
        <v>1</v>
      </c>
      <c r="D73" s="109">
        <v>2</v>
      </c>
      <c r="E73" s="109">
        <v>0</v>
      </c>
      <c r="F73" s="109">
        <v>2</v>
      </c>
      <c r="G73" s="109">
        <v>2</v>
      </c>
      <c r="H73" s="115" t="s">
        <v>262</v>
      </c>
      <c r="I73" s="109" t="s">
        <v>260</v>
      </c>
      <c r="J73" s="63">
        <v>968689.3</v>
      </c>
      <c r="K73" s="63">
        <v>977853.5</v>
      </c>
      <c r="L73" s="148">
        <v>1105757</v>
      </c>
      <c r="M73" s="63">
        <v>1081082</v>
      </c>
      <c r="N73" s="63">
        <v>1136925.2</v>
      </c>
      <c r="O73" s="63">
        <v>1188004.4</v>
      </c>
      <c r="P73" s="63">
        <f>SUM(J73:O73)</f>
        <v>6458311.4</v>
      </c>
      <c r="Q73" s="109">
        <v>2021</v>
      </c>
    </row>
    <row r="74" spans="1:17" s="112" customFormat="1" ht="38.25">
      <c r="A74" s="108" t="s">
        <v>259</v>
      </c>
      <c r="B74" s="109">
        <v>1</v>
      </c>
      <c r="C74" s="109">
        <v>1</v>
      </c>
      <c r="D74" s="109">
        <v>2</v>
      </c>
      <c r="E74" s="109">
        <v>0</v>
      </c>
      <c r="F74" s="109">
        <v>2</v>
      </c>
      <c r="G74" s="64"/>
      <c r="H74" s="116" t="s">
        <v>289</v>
      </c>
      <c r="I74" s="64" t="s">
        <v>279</v>
      </c>
      <c r="J74" s="60">
        <v>18792</v>
      </c>
      <c r="K74" s="60">
        <v>19077</v>
      </c>
      <c r="L74" s="60">
        <v>19805</v>
      </c>
      <c r="M74" s="60">
        <v>19887</v>
      </c>
      <c r="N74" s="60">
        <v>20132</v>
      </c>
      <c r="O74" s="60">
        <v>20073</v>
      </c>
      <c r="P74" s="60">
        <f>SUM(J74:O74)/6</f>
        <v>19628</v>
      </c>
      <c r="Q74" s="64">
        <v>2021</v>
      </c>
    </row>
    <row r="75" spans="1:17" ht="38.25">
      <c r="A75" s="26" t="s">
        <v>259</v>
      </c>
      <c r="B75" s="29">
        <v>1</v>
      </c>
      <c r="C75" s="29">
        <v>1</v>
      </c>
      <c r="D75" s="29">
        <v>2</v>
      </c>
      <c r="E75" s="29">
        <v>0</v>
      </c>
      <c r="F75" s="29">
        <v>2</v>
      </c>
      <c r="G75" s="5"/>
      <c r="H75" s="9" t="s">
        <v>247</v>
      </c>
      <c r="I75" s="5" t="s">
        <v>279</v>
      </c>
      <c r="J75" s="10">
        <v>25</v>
      </c>
      <c r="K75" s="65">
        <v>25</v>
      </c>
      <c r="L75" s="65">
        <v>25</v>
      </c>
      <c r="M75" s="65">
        <v>25</v>
      </c>
      <c r="N75" s="65">
        <v>25</v>
      </c>
      <c r="O75" s="10">
        <v>25</v>
      </c>
      <c r="P75" s="3">
        <v>25</v>
      </c>
      <c r="Q75" s="5">
        <v>2021</v>
      </c>
    </row>
    <row r="76" spans="1:17" s="112" customFormat="1" ht="76.5">
      <c r="A76" s="108" t="s">
        <v>259</v>
      </c>
      <c r="B76" s="109">
        <v>1</v>
      </c>
      <c r="C76" s="109">
        <v>1</v>
      </c>
      <c r="D76" s="109">
        <v>2</v>
      </c>
      <c r="E76" s="109">
        <v>0</v>
      </c>
      <c r="F76" s="109">
        <v>2</v>
      </c>
      <c r="G76" s="64"/>
      <c r="H76" s="116" t="s">
        <v>109</v>
      </c>
      <c r="I76" s="64" t="s">
        <v>265</v>
      </c>
      <c r="J76" s="71">
        <f>J72/J9*100</f>
        <v>25.6</v>
      </c>
      <c r="K76" s="71">
        <f>K72/K10*100</f>
        <v>12.9</v>
      </c>
      <c r="L76" s="151">
        <f>L72/L9*100</f>
        <v>21.6</v>
      </c>
      <c r="M76" s="71">
        <v>17.6</v>
      </c>
      <c r="N76" s="71">
        <v>17.6</v>
      </c>
      <c r="O76" s="71">
        <f>O72/O9*100</f>
        <v>25.2</v>
      </c>
      <c r="P76" s="71">
        <f>P72/P9*100</f>
        <v>21.7</v>
      </c>
      <c r="Q76" s="64">
        <v>2021</v>
      </c>
    </row>
    <row r="77" spans="1:17" s="112" customFormat="1" ht="63.75">
      <c r="A77" s="108" t="s">
        <v>259</v>
      </c>
      <c r="B77" s="109">
        <v>1</v>
      </c>
      <c r="C77" s="109">
        <v>1</v>
      </c>
      <c r="D77" s="109">
        <v>2</v>
      </c>
      <c r="E77" s="109">
        <v>0</v>
      </c>
      <c r="F77" s="109">
        <v>2</v>
      </c>
      <c r="G77" s="64"/>
      <c r="H77" s="116" t="s">
        <v>168</v>
      </c>
      <c r="I77" s="64" t="s">
        <v>260</v>
      </c>
      <c r="J77" s="71">
        <f aca="true" t="shared" si="20" ref="J77:O77">J73/J74</f>
        <v>51.5</v>
      </c>
      <c r="K77" s="71">
        <f t="shared" si="20"/>
        <v>51.3</v>
      </c>
      <c r="L77" s="151">
        <f>L73/L74</f>
        <v>55.8</v>
      </c>
      <c r="M77" s="71">
        <v>54.4</v>
      </c>
      <c r="N77" s="71">
        <v>56.5</v>
      </c>
      <c r="O77" s="71">
        <f t="shared" si="20"/>
        <v>59.2</v>
      </c>
      <c r="P77" s="62">
        <f>SUM(J77:O77)</f>
        <v>328.7</v>
      </c>
      <c r="Q77" s="64">
        <v>2021</v>
      </c>
    </row>
    <row r="78" spans="1:17" s="112" customFormat="1" ht="51">
      <c r="A78" s="108" t="s">
        <v>259</v>
      </c>
      <c r="B78" s="109">
        <v>1</v>
      </c>
      <c r="C78" s="109">
        <v>1</v>
      </c>
      <c r="D78" s="109">
        <v>2</v>
      </c>
      <c r="E78" s="109">
        <v>0</v>
      </c>
      <c r="F78" s="109">
        <v>2</v>
      </c>
      <c r="G78" s="64"/>
      <c r="H78" s="116" t="s">
        <v>137</v>
      </c>
      <c r="I78" s="64" t="s">
        <v>76</v>
      </c>
      <c r="J78" s="62">
        <v>0</v>
      </c>
      <c r="K78" s="62">
        <f>34903+535.3</f>
        <v>35438.3</v>
      </c>
      <c r="L78" s="62">
        <v>39464.4</v>
      </c>
      <c r="M78" s="62">
        <v>0</v>
      </c>
      <c r="N78" s="62">
        <v>0</v>
      </c>
      <c r="O78" s="62">
        <v>0</v>
      </c>
      <c r="P78" s="62">
        <v>39464.4</v>
      </c>
      <c r="Q78" s="64">
        <v>2018</v>
      </c>
    </row>
    <row r="79" spans="1:17" s="112" customFormat="1" ht="72" customHeight="1">
      <c r="A79" s="108" t="s">
        <v>259</v>
      </c>
      <c r="B79" s="109">
        <v>1</v>
      </c>
      <c r="C79" s="109">
        <v>1</v>
      </c>
      <c r="D79" s="109">
        <v>2</v>
      </c>
      <c r="E79" s="109">
        <v>0</v>
      </c>
      <c r="F79" s="109">
        <v>2</v>
      </c>
      <c r="G79" s="64"/>
      <c r="H79" s="70" t="s">
        <v>125</v>
      </c>
      <c r="I79" s="64" t="s">
        <v>279</v>
      </c>
      <c r="J79" s="65">
        <v>0</v>
      </c>
      <c r="K79" s="60">
        <v>0</v>
      </c>
      <c r="L79" s="197">
        <v>420</v>
      </c>
      <c r="M79" s="65">
        <v>489</v>
      </c>
      <c r="N79" s="65">
        <v>489</v>
      </c>
      <c r="O79" s="65">
        <v>0</v>
      </c>
      <c r="P79" s="60">
        <f>SUM(J79:O79)</f>
        <v>1398</v>
      </c>
      <c r="Q79" s="64">
        <v>2020</v>
      </c>
    </row>
    <row r="80" spans="1:28" s="120" customFormat="1" ht="43.5" customHeight="1">
      <c r="A80" s="81" t="s">
        <v>259</v>
      </c>
      <c r="B80" s="82">
        <v>1</v>
      </c>
      <c r="C80" s="82">
        <v>1</v>
      </c>
      <c r="D80" s="82">
        <v>2</v>
      </c>
      <c r="E80" s="82">
        <v>0</v>
      </c>
      <c r="F80" s="82">
        <v>3</v>
      </c>
      <c r="G80" s="82">
        <v>3</v>
      </c>
      <c r="H80" s="86" t="s">
        <v>367</v>
      </c>
      <c r="I80" s="82" t="s">
        <v>260</v>
      </c>
      <c r="J80" s="85">
        <f aca="true" t="shared" si="21" ref="J80:O80">J81</f>
        <v>5283.5</v>
      </c>
      <c r="K80" s="85">
        <f>K81</f>
        <v>20006.3</v>
      </c>
      <c r="L80" s="180">
        <f>L81</f>
        <v>18784.7</v>
      </c>
      <c r="M80" s="85">
        <f t="shared" si="21"/>
        <v>25978.4</v>
      </c>
      <c r="N80" s="85">
        <f t="shared" si="21"/>
        <v>25978.4</v>
      </c>
      <c r="O80" s="85">
        <f t="shared" si="21"/>
        <v>6773.4</v>
      </c>
      <c r="P80" s="85">
        <f>SUM(J80:O80)</f>
        <v>102804.7</v>
      </c>
      <c r="Q80" s="82">
        <v>2021</v>
      </c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</row>
    <row r="81" spans="1:17" s="111" customFormat="1" ht="12.75">
      <c r="A81" s="108" t="s">
        <v>259</v>
      </c>
      <c r="B81" s="109">
        <v>1</v>
      </c>
      <c r="C81" s="109">
        <v>1</v>
      </c>
      <c r="D81" s="109">
        <v>2</v>
      </c>
      <c r="E81" s="109">
        <v>0</v>
      </c>
      <c r="F81" s="109">
        <v>3</v>
      </c>
      <c r="G81" s="109">
        <v>3</v>
      </c>
      <c r="H81" s="115" t="s">
        <v>261</v>
      </c>
      <c r="I81" s="109" t="s">
        <v>260</v>
      </c>
      <c r="J81" s="63">
        <v>5283.5</v>
      </c>
      <c r="K81" s="63">
        <f>21017.5-1011.2</f>
        <v>20006.3</v>
      </c>
      <c r="L81" s="148">
        <f>23622.4-4839.4+1.7</f>
        <v>18784.7</v>
      </c>
      <c r="M81" s="63">
        <v>25978.4</v>
      </c>
      <c r="N81" s="63">
        <v>25978.4</v>
      </c>
      <c r="O81" s="63">
        <v>6773.4</v>
      </c>
      <c r="P81" s="63">
        <f>SUM(J81:O81)</f>
        <v>102804.7</v>
      </c>
      <c r="Q81" s="109">
        <v>2021</v>
      </c>
    </row>
    <row r="82" spans="1:17" ht="51">
      <c r="A82" s="26" t="s">
        <v>259</v>
      </c>
      <c r="B82" s="29">
        <v>1</v>
      </c>
      <c r="C82" s="29">
        <v>1</v>
      </c>
      <c r="D82" s="29">
        <v>2</v>
      </c>
      <c r="E82" s="29">
        <v>0</v>
      </c>
      <c r="F82" s="29">
        <v>3</v>
      </c>
      <c r="G82" s="5"/>
      <c r="H82" s="8" t="s">
        <v>62</v>
      </c>
      <c r="I82" s="5" t="s">
        <v>290</v>
      </c>
      <c r="J82" s="3">
        <v>29</v>
      </c>
      <c r="K82" s="67">
        <v>28</v>
      </c>
      <c r="L82" s="67">
        <v>28</v>
      </c>
      <c r="M82" s="67">
        <v>28</v>
      </c>
      <c r="N82" s="67">
        <v>28</v>
      </c>
      <c r="O82" s="1">
        <v>28</v>
      </c>
      <c r="P82" s="3">
        <v>28</v>
      </c>
      <c r="Q82" s="5">
        <v>2021</v>
      </c>
    </row>
    <row r="83" spans="1:17" ht="76.5">
      <c r="A83" s="26" t="s">
        <v>259</v>
      </c>
      <c r="B83" s="29">
        <v>1</v>
      </c>
      <c r="C83" s="29">
        <v>1</v>
      </c>
      <c r="D83" s="29">
        <v>2</v>
      </c>
      <c r="E83" s="29">
        <v>0</v>
      </c>
      <c r="F83" s="29">
        <v>3</v>
      </c>
      <c r="G83" s="5"/>
      <c r="H83" s="8" t="s">
        <v>138</v>
      </c>
      <c r="I83" s="5" t="s">
        <v>290</v>
      </c>
      <c r="J83" s="3">
        <v>0</v>
      </c>
      <c r="K83" s="67">
        <v>7</v>
      </c>
      <c r="L83" s="67">
        <v>7</v>
      </c>
      <c r="M83" s="67">
        <v>7</v>
      </c>
      <c r="N83" s="60">
        <v>7</v>
      </c>
      <c r="O83" s="3">
        <v>7</v>
      </c>
      <c r="P83" s="3">
        <v>7</v>
      </c>
      <c r="Q83" s="5">
        <v>2021</v>
      </c>
    </row>
    <row r="84" spans="1:17" ht="25.5">
      <c r="A84" s="26" t="s">
        <v>259</v>
      </c>
      <c r="B84" s="29">
        <v>1</v>
      </c>
      <c r="C84" s="29">
        <v>1</v>
      </c>
      <c r="D84" s="29">
        <v>2</v>
      </c>
      <c r="E84" s="29">
        <v>0</v>
      </c>
      <c r="F84" s="29">
        <v>3</v>
      </c>
      <c r="G84" s="64"/>
      <c r="H84" s="8" t="s">
        <v>139</v>
      </c>
      <c r="I84" s="5" t="s">
        <v>279</v>
      </c>
      <c r="J84" s="3">
        <v>0</v>
      </c>
      <c r="K84" s="3">
        <f>1475-29-224</f>
        <v>1222</v>
      </c>
      <c r="L84" s="157">
        <v>1298</v>
      </c>
      <c r="M84" s="60">
        <v>1609</v>
      </c>
      <c r="N84" s="60">
        <v>1609</v>
      </c>
      <c r="O84" s="60">
        <v>1125</v>
      </c>
      <c r="P84" s="3">
        <f>SUM(J84:O84)</f>
        <v>6863</v>
      </c>
      <c r="Q84" s="5">
        <v>2021</v>
      </c>
    </row>
    <row r="85" spans="1:28" s="120" customFormat="1" ht="51">
      <c r="A85" s="81" t="s">
        <v>259</v>
      </c>
      <c r="B85" s="82">
        <v>1</v>
      </c>
      <c r="C85" s="82">
        <v>1</v>
      </c>
      <c r="D85" s="82">
        <v>2</v>
      </c>
      <c r="E85" s="82">
        <v>0</v>
      </c>
      <c r="F85" s="82">
        <v>4</v>
      </c>
      <c r="G85" s="82"/>
      <c r="H85" s="86" t="s">
        <v>368</v>
      </c>
      <c r="I85" s="82" t="s">
        <v>260</v>
      </c>
      <c r="J85" s="85">
        <f>J86</f>
        <v>9796.1</v>
      </c>
      <c r="K85" s="85">
        <f>K86</f>
        <v>8719.3</v>
      </c>
      <c r="L85" s="180">
        <f>L86+L87</f>
        <v>12072.3</v>
      </c>
      <c r="M85" s="85">
        <f>M86+M87</f>
        <v>4537.5</v>
      </c>
      <c r="N85" s="85">
        <f>N86+N87</f>
        <v>5187.5</v>
      </c>
      <c r="O85" s="85">
        <f>O86+O87</f>
        <v>219.8</v>
      </c>
      <c r="P85" s="85">
        <f>P86+P87</f>
        <v>10227.7</v>
      </c>
      <c r="Q85" s="82">
        <v>2021</v>
      </c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</row>
    <row r="86" spans="1:28" s="120" customFormat="1" ht="12.75">
      <c r="A86" s="26" t="s">
        <v>259</v>
      </c>
      <c r="B86" s="29">
        <v>1</v>
      </c>
      <c r="C86" s="29">
        <v>1</v>
      </c>
      <c r="D86" s="29">
        <v>2</v>
      </c>
      <c r="E86" s="29">
        <v>0</v>
      </c>
      <c r="F86" s="29">
        <v>4</v>
      </c>
      <c r="G86" s="29">
        <v>3</v>
      </c>
      <c r="H86" s="19" t="s">
        <v>261</v>
      </c>
      <c r="I86" s="29" t="s">
        <v>260</v>
      </c>
      <c r="J86" s="18">
        <v>9796.1</v>
      </c>
      <c r="K86" s="63">
        <f>7708.1+1011.2</f>
        <v>8719.3</v>
      </c>
      <c r="L86" s="148">
        <f>6803+4839.4-1.7</f>
        <v>11640.7</v>
      </c>
      <c r="M86" s="63">
        <v>4537.5</v>
      </c>
      <c r="N86" s="63">
        <v>5187.5</v>
      </c>
      <c r="O86" s="18">
        <v>219.8</v>
      </c>
      <c r="P86" s="18">
        <v>9796.1</v>
      </c>
      <c r="Q86" s="29">
        <v>2021</v>
      </c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</row>
    <row r="87" spans="1:28" s="120" customFormat="1" ht="12.75">
      <c r="A87" s="26"/>
      <c r="B87" s="29"/>
      <c r="C87" s="29"/>
      <c r="D87" s="29"/>
      <c r="E87" s="29"/>
      <c r="F87" s="29"/>
      <c r="G87" s="29">
        <v>2</v>
      </c>
      <c r="H87" s="19" t="s">
        <v>209</v>
      </c>
      <c r="I87" s="29" t="s">
        <v>260</v>
      </c>
      <c r="J87" s="18"/>
      <c r="K87" s="63"/>
      <c r="L87" s="63">
        <v>431.6</v>
      </c>
      <c r="M87" s="63"/>
      <c r="N87" s="63"/>
      <c r="O87" s="18"/>
      <c r="P87" s="18">
        <f>SUM(L87:O87)</f>
        <v>431.6</v>
      </c>
      <c r="Q87" s="29">
        <v>2018</v>
      </c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</row>
    <row r="88" spans="1:17" ht="51">
      <c r="A88" s="26" t="s">
        <v>259</v>
      </c>
      <c r="B88" s="29">
        <v>1</v>
      </c>
      <c r="C88" s="29">
        <v>1</v>
      </c>
      <c r="D88" s="29">
        <v>2</v>
      </c>
      <c r="E88" s="29">
        <v>0</v>
      </c>
      <c r="F88" s="29">
        <v>4</v>
      </c>
      <c r="G88" s="5"/>
      <c r="H88" s="9" t="s">
        <v>291</v>
      </c>
      <c r="I88" s="5" t="s">
        <v>290</v>
      </c>
      <c r="J88" s="3">
        <v>18</v>
      </c>
      <c r="K88" s="60">
        <v>11</v>
      </c>
      <c r="L88" s="60">
        <v>16</v>
      </c>
      <c r="M88" s="60">
        <v>10</v>
      </c>
      <c r="N88" s="60">
        <v>14</v>
      </c>
      <c r="O88" s="3">
        <v>18</v>
      </c>
      <c r="P88" s="3">
        <f>SUM(J88:O88)</f>
        <v>87</v>
      </c>
      <c r="Q88" s="5">
        <v>2021</v>
      </c>
    </row>
    <row r="89" spans="1:17" ht="51" customHeight="1">
      <c r="A89" s="26" t="s">
        <v>259</v>
      </c>
      <c r="B89" s="29">
        <v>1</v>
      </c>
      <c r="C89" s="29">
        <v>1</v>
      </c>
      <c r="D89" s="29">
        <v>2</v>
      </c>
      <c r="E89" s="29">
        <v>0</v>
      </c>
      <c r="F89" s="29">
        <v>4</v>
      </c>
      <c r="G89" s="5"/>
      <c r="H89" s="9" t="s">
        <v>61</v>
      </c>
      <c r="I89" s="5" t="s">
        <v>290</v>
      </c>
      <c r="J89" s="1">
        <v>29</v>
      </c>
      <c r="K89" s="1">
        <v>28</v>
      </c>
      <c r="L89" s="200">
        <f>6+22</f>
        <v>28</v>
      </c>
      <c r="M89" s="67">
        <v>28</v>
      </c>
      <c r="N89" s="67">
        <v>28</v>
      </c>
      <c r="O89" s="1">
        <v>28</v>
      </c>
      <c r="P89" s="3">
        <v>28</v>
      </c>
      <c r="Q89" s="1">
        <v>2021</v>
      </c>
    </row>
    <row r="90" spans="1:17" ht="51">
      <c r="A90" s="26" t="s">
        <v>259</v>
      </c>
      <c r="B90" s="29">
        <v>1</v>
      </c>
      <c r="C90" s="29">
        <v>1</v>
      </c>
      <c r="D90" s="29">
        <v>2</v>
      </c>
      <c r="E90" s="29">
        <v>0</v>
      </c>
      <c r="F90" s="29">
        <v>4</v>
      </c>
      <c r="G90" s="64"/>
      <c r="H90" s="9" t="s">
        <v>140</v>
      </c>
      <c r="I90" s="5" t="s">
        <v>290</v>
      </c>
      <c r="J90" s="1">
        <v>0</v>
      </c>
      <c r="K90" s="1">
        <f>1+1+2</f>
        <v>4</v>
      </c>
      <c r="L90" s="67">
        <v>28</v>
      </c>
      <c r="M90" s="67">
        <v>0</v>
      </c>
      <c r="N90" s="67">
        <v>0</v>
      </c>
      <c r="O90" s="1">
        <v>0</v>
      </c>
      <c r="P90" s="3">
        <f>SUM(J90:O90)</f>
        <v>32</v>
      </c>
      <c r="Q90" s="1">
        <v>2017</v>
      </c>
    </row>
    <row r="91" spans="1:17" ht="25.5">
      <c r="A91" s="75" t="s">
        <v>259</v>
      </c>
      <c r="B91" s="76">
        <v>1</v>
      </c>
      <c r="C91" s="76">
        <v>1</v>
      </c>
      <c r="D91" s="76">
        <v>3</v>
      </c>
      <c r="E91" s="76">
        <v>0</v>
      </c>
      <c r="F91" s="76">
        <v>0</v>
      </c>
      <c r="G91" s="76"/>
      <c r="H91" s="77" t="s">
        <v>292</v>
      </c>
      <c r="I91" s="76" t="s">
        <v>260</v>
      </c>
      <c r="J91" s="78">
        <f aca="true" t="shared" si="22" ref="J91:O91">J92+J93</f>
        <v>178005.5</v>
      </c>
      <c r="K91" s="78">
        <f t="shared" si="22"/>
        <v>195943.3</v>
      </c>
      <c r="L91" s="181">
        <f>L92+L93</f>
        <v>238456.7</v>
      </c>
      <c r="M91" s="78">
        <f>M92+M93</f>
        <v>200637.2</v>
      </c>
      <c r="N91" s="78">
        <f>N92+N93</f>
        <v>200637.2</v>
      </c>
      <c r="O91" s="78">
        <f t="shared" si="22"/>
        <v>214085.4</v>
      </c>
      <c r="P91" s="78">
        <f>SUM(P92:P93)</f>
        <v>1227765.3</v>
      </c>
      <c r="Q91" s="76">
        <v>2021</v>
      </c>
    </row>
    <row r="92" spans="1:28" s="120" customFormat="1" ht="12.75">
      <c r="A92" s="26" t="s">
        <v>259</v>
      </c>
      <c r="B92" s="29">
        <v>1</v>
      </c>
      <c r="C92" s="29">
        <v>1</v>
      </c>
      <c r="D92" s="29">
        <v>3</v>
      </c>
      <c r="E92" s="29">
        <v>0</v>
      </c>
      <c r="F92" s="29">
        <v>0</v>
      </c>
      <c r="G92" s="29">
        <v>3</v>
      </c>
      <c r="H92" s="19" t="s">
        <v>261</v>
      </c>
      <c r="I92" s="29" t="s">
        <v>260</v>
      </c>
      <c r="J92" s="18">
        <f>J100+J107</f>
        <v>178005.5</v>
      </c>
      <c r="K92" s="18">
        <f>K100+K107</f>
        <v>189194</v>
      </c>
      <c r="L92" s="148">
        <f>L100+L107+L111</f>
        <v>209181.3</v>
      </c>
      <c r="M92" s="63">
        <f>M100+M107</f>
        <v>200637.2</v>
      </c>
      <c r="N92" s="98">
        <f>N100+N107</f>
        <v>200637.2</v>
      </c>
      <c r="O92" s="18">
        <f>O100+O107</f>
        <v>214085.4</v>
      </c>
      <c r="P92" s="63">
        <f>SUM(J92:O92)</f>
        <v>1191740.6</v>
      </c>
      <c r="Q92" s="29">
        <v>2021</v>
      </c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</row>
    <row r="93" spans="1:28" s="120" customFormat="1" ht="12.75">
      <c r="A93" s="26" t="s">
        <v>259</v>
      </c>
      <c r="B93" s="29">
        <v>1</v>
      </c>
      <c r="C93" s="29">
        <v>1</v>
      </c>
      <c r="D93" s="29">
        <v>3</v>
      </c>
      <c r="E93" s="29">
        <v>0</v>
      </c>
      <c r="F93" s="29">
        <v>0</v>
      </c>
      <c r="G93" s="29">
        <v>2</v>
      </c>
      <c r="H93" s="19" t="s">
        <v>262</v>
      </c>
      <c r="I93" s="29" t="s">
        <v>260</v>
      </c>
      <c r="J93" s="18">
        <v>0</v>
      </c>
      <c r="K93" s="18">
        <f>K101</f>
        <v>6749.3</v>
      </c>
      <c r="L93" s="148">
        <f>L101+L108</f>
        <v>29275.4</v>
      </c>
      <c r="M93" s="98">
        <f>M101</f>
        <v>0</v>
      </c>
      <c r="N93" s="98">
        <f>N101</f>
        <v>0</v>
      </c>
      <c r="O93" s="18">
        <f>O101</f>
        <v>0</v>
      </c>
      <c r="P93" s="63">
        <f>SUM(J93:O93)</f>
        <v>36024.7</v>
      </c>
      <c r="Q93" s="29">
        <v>2018</v>
      </c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</row>
    <row r="94" spans="1:17" ht="63.75">
      <c r="A94" s="26" t="s">
        <v>259</v>
      </c>
      <c r="B94" s="29">
        <v>1</v>
      </c>
      <c r="C94" s="29">
        <v>1</v>
      </c>
      <c r="D94" s="29">
        <v>3</v>
      </c>
      <c r="E94" s="29">
        <v>0</v>
      </c>
      <c r="F94" s="29">
        <v>0</v>
      </c>
      <c r="G94" s="5"/>
      <c r="H94" s="8" t="s">
        <v>293</v>
      </c>
      <c r="I94" s="5" t="s">
        <v>265</v>
      </c>
      <c r="J94" s="7">
        <v>88</v>
      </c>
      <c r="K94" s="62">
        <v>88.7</v>
      </c>
      <c r="L94" s="62">
        <v>88.7</v>
      </c>
      <c r="M94" s="62">
        <v>87.1</v>
      </c>
      <c r="N94" s="62">
        <v>87</v>
      </c>
      <c r="O94" s="7">
        <v>88</v>
      </c>
      <c r="P94" s="7">
        <f>SUM(J94:O94)/6</f>
        <v>87.9</v>
      </c>
      <c r="Q94" s="5">
        <v>2021</v>
      </c>
    </row>
    <row r="95" spans="1:17" ht="51">
      <c r="A95" s="26" t="s">
        <v>259</v>
      </c>
      <c r="B95" s="29">
        <v>1</v>
      </c>
      <c r="C95" s="29">
        <v>1</v>
      </c>
      <c r="D95" s="29">
        <v>3</v>
      </c>
      <c r="E95" s="29">
        <v>0</v>
      </c>
      <c r="F95" s="29">
        <v>0</v>
      </c>
      <c r="G95" s="5"/>
      <c r="H95" s="8" t="s">
        <v>294</v>
      </c>
      <c r="I95" s="5" t="s">
        <v>279</v>
      </c>
      <c r="J95" s="1">
        <v>82</v>
      </c>
      <c r="K95" s="67">
        <v>117</v>
      </c>
      <c r="L95" s="67">
        <v>126</v>
      </c>
      <c r="M95" s="67">
        <v>129</v>
      </c>
      <c r="N95" s="67">
        <v>129</v>
      </c>
      <c r="O95" s="1">
        <v>129</v>
      </c>
      <c r="P95" s="3">
        <f>SUM(J95:O95)/6</f>
        <v>119</v>
      </c>
      <c r="Q95" s="5">
        <v>2021</v>
      </c>
    </row>
    <row r="96" spans="1:17" ht="63.75">
      <c r="A96" s="26" t="s">
        <v>259</v>
      </c>
      <c r="B96" s="29">
        <v>1</v>
      </c>
      <c r="C96" s="29">
        <v>1</v>
      </c>
      <c r="D96" s="29">
        <v>3</v>
      </c>
      <c r="E96" s="29">
        <v>0</v>
      </c>
      <c r="F96" s="29">
        <v>0</v>
      </c>
      <c r="G96" s="5"/>
      <c r="H96" s="8" t="s">
        <v>295</v>
      </c>
      <c r="I96" s="5" t="s">
        <v>265</v>
      </c>
      <c r="J96" s="4">
        <v>90</v>
      </c>
      <c r="K96" s="71">
        <v>100</v>
      </c>
      <c r="L96" s="71">
        <v>100</v>
      </c>
      <c r="M96" s="71">
        <v>100</v>
      </c>
      <c r="N96" s="71">
        <v>100</v>
      </c>
      <c r="O96" s="4">
        <v>100</v>
      </c>
      <c r="P96" s="4">
        <v>100</v>
      </c>
      <c r="Q96" s="5">
        <v>2021</v>
      </c>
    </row>
    <row r="97" spans="1:17" ht="51">
      <c r="A97" s="81" t="s">
        <v>259</v>
      </c>
      <c r="B97" s="82">
        <v>1</v>
      </c>
      <c r="C97" s="82">
        <v>1</v>
      </c>
      <c r="D97" s="82">
        <v>3</v>
      </c>
      <c r="E97" s="82">
        <v>0</v>
      </c>
      <c r="F97" s="82">
        <v>1</v>
      </c>
      <c r="G97" s="83"/>
      <c r="H97" s="84" t="s">
        <v>79</v>
      </c>
      <c r="I97" s="83" t="s">
        <v>275</v>
      </c>
      <c r="J97" s="88" t="s">
        <v>276</v>
      </c>
      <c r="K97" s="88" t="s">
        <v>276</v>
      </c>
      <c r="L97" s="88" t="s">
        <v>276</v>
      </c>
      <c r="M97" s="88" t="s">
        <v>276</v>
      </c>
      <c r="N97" s="88" t="s">
        <v>276</v>
      </c>
      <c r="O97" s="88" t="s">
        <v>276</v>
      </c>
      <c r="P97" s="88" t="s">
        <v>276</v>
      </c>
      <c r="Q97" s="83">
        <v>2021</v>
      </c>
    </row>
    <row r="98" spans="1:17" ht="51">
      <c r="A98" s="26" t="s">
        <v>259</v>
      </c>
      <c r="B98" s="29">
        <v>1</v>
      </c>
      <c r="C98" s="29">
        <v>1</v>
      </c>
      <c r="D98" s="29">
        <v>3</v>
      </c>
      <c r="E98" s="29">
        <v>0</v>
      </c>
      <c r="F98" s="29">
        <v>1</v>
      </c>
      <c r="G98" s="5"/>
      <c r="H98" s="8" t="s">
        <v>296</v>
      </c>
      <c r="I98" s="5" t="s">
        <v>265</v>
      </c>
      <c r="J98" s="7">
        <v>100</v>
      </c>
      <c r="K98" s="7">
        <v>100</v>
      </c>
      <c r="L98" s="62">
        <v>100</v>
      </c>
      <c r="M98" s="62">
        <v>100</v>
      </c>
      <c r="N98" s="62">
        <v>100</v>
      </c>
      <c r="O98" s="7">
        <v>100</v>
      </c>
      <c r="P98" s="7">
        <v>100</v>
      </c>
      <c r="Q98" s="5">
        <v>2021</v>
      </c>
    </row>
    <row r="99" spans="1:17" ht="25.5">
      <c r="A99" s="81" t="s">
        <v>259</v>
      </c>
      <c r="B99" s="82">
        <v>1</v>
      </c>
      <c r="C99" s="82">
        <v>1</v>
      </c>
      <c r="D99" s="82">
        <v>3</v>
      </c>
      <c r="E99" s="82">
        <v>0</v>
      </c>
      <c r="F99" s="82">
        <v>2</v>
      </c>
      <c r="G99" s="82"/>
      <c r="H99" s="86" t="s">
        <v>218</v>
      </c>
      <c r="I99" s="83" t="s">
        <v>260</v>
      </c>
      <c r="J99" s="85">
        <f aca="true" t="shared" si="23" ref="J99:O99">J100+J101</f>
        <v>175812.2</v>
      </c>
      <c r="K99" s="85">
        <f t="shared" si="23"/>
        <v>192398.1</v>
      </c>
      <c r="L99" s="180">
        <f>L100+L101</f>
        <v>229582.1</v>
      </c>
      <c r="M99" s="85">
        <f>M100+M101</f>
        <v>193668.6</v>
      </c>
      <c r="N99" s="85">
        <f>N100+N101</f>
        <v>193668.6</v>
      </c>
      <c r="O99" s="85">
        <f t="shared" si="23"/>
        <v>211254.9</v>
      </c>
      <c r="P99" s="85">
        <f>SUM(P100:P101)</f>
        <v>1196384.5</v>
      </c>
      <c r="Q99" s="82">
        <v>2021</v>
      </c>
    </row>
    <row r="100" spans="1:17" s="121" customFormat="1" ht="12.75">
      <c r="A100" s="108" t="s">
        <v>259</v>
      </c>
      <c r="B100" s="109">
        <v>1</v>
      </c>
      <c r="C100" s="109">
        <v>1</v>
      </c>
      <c r="D100" s="109">
        <v>3</v>
      </c>
      <c r="E100" s="109">
        <v>0</v>
      </c>
      <c r="F100" s="109">
        <v>2</v>
      </c>
      <c r="G100" s="109">
        <v>3</v>
      </c>
      <c r="H100" s="115" t="s">
        <v>261</v>
      </c>
      <c r="I100" s="109" t="s">
        <v>260</v>
      </c>
      <c r="J100" s="63">
        <f>189072.3-11566.7+176.3-1869.7</f>
        <v>175812.2</v>
      </c>
      <c r="K100" s="63">
        <f>185648.9-0.06</f>
        <v>185648.8</v>
      </c>
      <c r="L100" s="148">
        <v>202256.7</v>
      </c>
      <c r="M100" s="63">
        <v>193668.6</v>
      </c>
      <c r="N100" s="63">
        <v>193668.6</v>
      </c>
      <c r="O100" s="63">
        <v>211254.9</v>
      </c>
      <c r="P100" s="63">
        <f>SUM(J100:O100)</f>
        <v>1162309.8</v>
      </c>
      <c r="Q100" s="109">
        <v>2021</v>
      </c>
    </row>
    <row r="101" spans="1:17" s="121" customFormat="1" ht="12.75">
      <c r="A101" s="108" t="s">
        <v>259</v>
      </c>
      <c r="B101" s="109">
        <v>1</v>
      </c>
      <c r="C101" s="109">
        <v>1</v>
      </c>
      <c r="D101" s="109">
        <v>3</v>
      </c>
      <c r="E101" s="109">
        <v>0</v>
      </c>
      <c r="F101" s="109">
        <v>2</v>
      </c>
      <c r="G101" s="109">
        <v>2</v>
      </c>
      <c r="H101" s="115" t="s">
        <v>262</v>
      </c>
      <c r="I101" s="109" t="s">
        <v>260</v>
      </c>
      <c r="J101" s="63">
        <v>0</v>
      </c>
      <c r="K101" s="63">
        <v>6749.3</v>
      </c>
      <c r="L101" s="148">
        <v>27325.4</v>
      </c>
      <c r="M101" s="63">
        <v>0</v>
      </c>
      <c r="N101" s="63">
        <v>0</v>
      </c>
      <c r="O101" s="63">
        <v>0</v>
      </c>
      <c r="P101" s="63">
        <f>SUM(J101:O101)</f>
        <v>34074.7</v>
      </c>
      <c r="Q101" s="29">
        <v>2018</v>
      </c>
    </row>
    <row r="102" spans="1:17" ht="38.25">
      <c r="A102" s="26" t="s">
        <v>259</v>
      </c>
      <c r="B102" s="29">
        <v>1</v>
      </c>
      <c r="C102" s="29">
        <v>1</v>
      </c>
      <c r="D102" s="29">
        <v>3</v>
      </c>
      <c r="E102" s="29">
        <v>0</v>
      </c>
      <c r="F102" s="29">
        <v>2</v>
      </c>
      <c r="G102" s="5"/>
      <c r="H102" s="8" t="s">
        <v>297</v>
      </c>
      <c r="I102" s="5" t="s">
        <v>210</v>
      </c>
      <c r="J102" s="3">
        <v>1971529</v>
      </c>
      <c r="K102" s="60">
        <f>1971529+228097+14685+6257</f>
        <v>2220568</v>
      </c>
      <c r="L102" s="60">
        <v>2655571</v>
      </c>
      <c r="M102" s="60">
        <v>2655571</v>
      </c>
      <c r="N102" s="60">
        <v>2655571</v>
      </c>
      <c r="O102" s="3">
        <v>1971529</v>
      </c>
      <c r="P102" s="3">
        <f>SUM(J102:O102)/6</f>
        <v>2355057</v>
      </c>
      <c r="Q102" s="5">
        <v>2021</v>
      </c>
    </row>
    <row r="103" spans="1:17" s="112" customFormat="1" ht="51" customHeight="1">
      <c r="A103" s="108" t="s">
        <v>259</v>
      </c>
      <c r="B103" s="109">
        <v>1</v>
      </c>
      <c r="C103" s="109">
        <v>1</v>
      </c>
      <c r="D103" s="109">
        <v>3</v>
      </c>
      <c r="E103" s="109">
        <v>0</v>
      </c>
      <c r="F103" s="109">
        <v>2</v>
      </c>
      <c r="G103" s="64"/>
      <c r="H103" s="70" t="s">
        <v>110</v>
      </c>
      <c r="I103" s="64" t="s">
        <v>265</v>
      </c>
      <c r="J103" s="71">
        <f>J100/J9*100</f>
        <v>15.9</v>
      </c>
      <c r="K103" s="71">
        <f>K100/K10*100</f>
        <v>8.8</v>
      </c>
      <c r="L103" s="151">
        <f>L100/L9*100</f>
        <v>14.5</v>
      </c>
      <c r="M103" s="71">
        <v>16.9</v>
      </c>
      <c r="N103" s="71">
        <v>16.6</v>
      </c>
      <c r="O103" s="71">
        <f>O100/O9*100</f>
        <v>15.6</v>
      </c>
      <c r="P103" s="71">
        <f>P100/P9*100</f>
        <v>15.7</v>
      </c>
      <c r="Q103" s="64">
        <v>2021</v>
      </c>
    </row>
    <row r="104" spans="1:17" s="112" customFormat="1" ht="38.25">
      <c r="A104" s="109" t="s">
        <v>259</v>
      </c>
      <c r="B104" s="109">
        <v>1</v>
      </c>
      <c r="C104" s="109">
        <v>1</v>
      </c>
      <c r="D104" s="109">
        <v>3</v>
      </c>
      <c r="E104" s="109">
        <v>0</v>
      </c>
      <c r="F104" s="109">
        <v>2</v>
      </c>
      <c r="G104" s="113"/>
      <c r="H104" s="114" t="s">
        <v>207</v>
      </c>
      <c r="I104" s="113" t="s">
        <v>208</v>
      </c>
      <c r="J104" s="62">
        <v>0</v>
      </c>
      <c r="K104" s="62">
        <v>36066</v>
      </c>
      <c r="L104" s="152">
        <v>42098.7</v>
      </c>
      <c r="M104" s="62">
        <v>0</v>
      </c>
      <c r="N104" s="62">
        <v>0</v>
      </c>
      <c r="O104" s="62">
        <v>0</v>
      </c>
      <c r="P104" s="62">
        <v>41386.3</v>
      </c>
      <c r="Q104" s="64">
        <v>2018</v>
      </c>
    </row>
    <row r="105" spans="1:17" s="112" customFormat="1" ht="63.75">
      <c r="A105" s="108" t="s">
        <v>259</v>
      </c>
      <c r="B105" s="109">
        <v>1</v>
      </c>
      <c r="C105" s="109">
        <v>1</v>
      </c>
      <c r="D105" s="109">
        <v>3</v>
      </c>
      <c r="E105" s="109">
        <v>0</v>
      </c>
      <c r="F105" s="109">
        <v>2</v>
      </c>
      <c r="G105" s="64"/>
      <c r="H105" s="70" t="s">
        <v>126</v>
      </c>
      <c r="I105" s="64" t="s">
        <v>279</v>
      </c>
      <c r="J105" s="65">
        <v>0</v>
      </c>
      <c r="K105" s="60">
        <v>0</v>
      </c>
      <c r="L105" s="197">
        <v>115</v>
      </c>
      <c r="M105" s="65">
        <v>135</v>
      </c>
      <c r="N105" s="65">
        <v>135</v>
      </c>
      <c r="O105" s="65">
        <v>0</v>
      </c>
      <c r="P105" s="60">
        <f>SUM(J105:O105)</f>
        <v>385</v>
      </c>
      <c r="Q105" s="64">
        <v>2020</v>
      </c>
    </row>
    <row r="106" spans="1:28" s="120" customFormat="1" ht="63.75">
      <c r="A106" s="81" t="s">
        <v>259</v>
      </c>
      <c r="B106" s="82">
        <v>1</v>
      </c>
      <c r="C106" s="82">
        <v>1</v>
      </c>
      <c r="D106" s="82">
        <v>3</v>
      </c>
      <c r="E106" s="82">
        <v>0</v>
      </c>
      <c r="F106" s="82">
        <v>3</v>
      </c>
      <c r="G106" s="82">
        <v>3</v>
      </c>
      <c r="H106" s="86" t="s">
        <v>358</v>
      </c>
      <c r="I106" s="82" t="s">
        <v>260</v>
      </c>
      <c r="J106" s="85">
        <f>J107+J108</f>
        <v>2193.3</v>
      </c>
      <c r="K106" s="85">
        <f aca="true" t="shared" si="24" ref="K106:P106">K107+K108</f>
        <v>3545.2</v>
      </c>
      <c r="L106" s="85">
        <f>L107+L108</f>
        <v>4830.9</v>
      </c>
      <c r="M106" s="85">
        <f>M107+M108</f>
        <v>6968.6</v>
      </c>
      <c r="N106" s="85">
        <f>N107+N108</f>
        <v>6968.6</v>
      </c>
      <c r="O106" s="85">
        <f t="shared" si="24"/>
        <v>2830.5</v>
      </c>
      <c r="P106" s="85">
        <f t="shared" si="24"/>
        <v>27337.1</v>
      </c>
      <c r="Q106" s="82">
        <v>2021</v>
      </c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</row>
    <row r="107" spans="1:28" s="120" customFormat="1" ht="12.75">
      <c r="A107" s="26" t="s">
        <v>259</v>
      </c>
      <c r="B107" s="29">
        <v>1</v>
      </c>
      <c r="C107" s="29">
        <v>1</v>
      </c>
      <c r="D107" s="29">
        <v>3</v>
      </c>
      <c r="E107" s="29">
        <v>0</v>
      </c>
      <c r="F107" s="29">
        <v>3</v>
      </c>
      <c r="G107" s="29">
        <v>3</v>
      </c>
      <c r="H107" s="19" t="s">
        <v>261</v>
      </c>
      <c r="I107" s="29" t="s">
        <v>260</v>
      </c>
      <c r="J107" s="18">
        <f>3678.2-1484.9</f>
        <v>2193.3</v>
      </c>
      <c r="K107" s="63">
        <v>3545.2</v>
      </c>
      <c r="L107" s="148">
        <v>2880.9</v>
      </c>
      <c r="M107" s="98">
        <v>6968.6</v>
      </c>
      <c r="N107" s="98">
        <v>6968.6</v>
      </c>
      <c r="O107" s="18">
        <v>2830.5</v>
      </c>
      <c r="P107" s="18">
        <f>SUM(J107:O107)</f>
        <v>25387.1</v>
      </c>
      <c r="Q107" s="29">
        <v>2021</v>
      </c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</row>
    <row r="108" spans="1:28" s="120" customFormat="1" ht="12.75">
      <c r="A108" s="26" t="s">
        <v>259</v>
      </c>
      <c r="B108" s="29">
        <v>1</v>
      </c>
      <c r="C108" s="29">
        <v>1</v>
      </c>
      <c r="D108" s="29">
        <v>3</v>
      </c>
      <c r="E108" s="29">
        <v>0</v>
      </c>
      <c r="F108" s="29">
        <v>3</v>
      </c>
      <c r="G108" s="29">
        <v>3</v>
      </c>
      <c r="H108" s="19" t="s">
        <v>209</v>
      </c>
      <c r="I108" s="29" t="s">
        <v>260</v>
      </c>
      <c r="J108" s="18">
        <v>0</v>
      </c>
      <c r="K108" s="63">
        <v>0</v>
      </c>
      <c r="L108" s="148">
        <v>1950</v>
      </c>
      <c r="M108" s="98">
        <v>0</v>
      </c>
      <c r="N108" s="98">
        <v>0</v>
      </c>
      <c r="O108" s="18">
        <v>0</v>
      </c>
      <c r="P108" s="18">
        <v>1950</v>
      </c>
      <c r="Q108" s="137">
        <v>2018</v>
      </c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</row>
    <row r="109" spans="1:17" ht="51">
      <c r="A109" s="26" t="s">
        <v>259</v>
      </c>
      <c r="B109" s="29">
        <v>1</v>
      </c>
      <c r="C109" s="29">
        <v>1</v>
      </c>
      <c r="D109" s="29">
        <v>3</v>
      </c>
      <c r="E109" s="29">
        <v>0</v>
      </c>
      <c r="F109" s="29">
        <v>3</v>
      </c>
      <c r="G109" s="5"/>
      <c r="H109" s="8" t="s">
        <v>298</v>
      </c>
      <c r="I109" s="5" t="s">
        <v>290</v>
      </c>
      <c r="J109" s="3">
        <v>7</v>
      </c>
      <c r="K109" s="3">
        <v>7</v>
      </c>
      <c r="L109" s="60">
        <v>7</v>
      </c>
      <c r="M109" s="100">
        <v>7</v>
      </c>
      <c r="N109" s="100">
        <v>7</v>
      </c>
      <c r="O109" s="3">
        <v>7</v>
      </c>
      <c r="P109" s="3">
        <v>7</v>
      </c>
      <c r="Q109" s="5">
        <v>2021</v>
      </c>
    </row>
    <row r="110" spans="1:28" s="120" customFormat="1" ht="38.25">
      <c r="A110" s="81" t="s">
        <v>259</v>
      </c>
      <c r="B110" s="82">
        <v>1</v>
      </c>
      <c r="C110" s="82">
        <v>1</v>
      </c>
      <c r="D110" s="82">
        <v>3</v>
      </c>
      <c r="E110" s="82">
        <v>0</v>
      </c>
      <c r="F110" s="82">
        <v>4</v>
      </c>
      <c r="G110" s="82">
        <v>3</v>
      </c>
      <c r="H110" s="86" t="s">
        <v>357</v>
      </c>
      <c r="I110" s="82" t="s">
        <v>260</v>
      </c>
      <c r="J110" s="85">
        <f>J111</f>
        <v>0</v>
      </c>
      <c r="K110" s="85">
        <f aca="true" t="shared" si="25" ref="K110:P110">K111</f>
        <v>0</v>
      </c>
      <c r="L110" s="85">
        <f t="shared" si="25"/>
        <v>4043.7</v>
      </c>
      <c r="M110" s="85">
        <f t="shared" si="25"/>
        <v>0</v>
      </c>
      <c r="N110" s="85">
        <f t="shared" si="25"/>
        <v>0</v>
      </c>
      <c r="O110" s="85">
        <f t="shared" si="25"/>
        <v>0</v>
      </c>
      <c r="P110" s="85">
        <f t="shared" si="25"/>
        <v>4043.7</v>
      </c>
      <c r="Q110" s="82">
        <v>2018</v>
      </c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</row>
    <row r="111" spans="1:17" s="111" customFormat="1" ht="12.75">
      <c r="A111" s="26" t="s">
        <v>259</v>
      </c>
      <c r="B111" s="29">
        <v>1</v>
      </c>
      <c r="C111" s="29">
        <v>1</v>
      </c>
      <c r="D111" s="29">
        <v>3</v>
      </c>
      <c r="E111" s="29">
        <v>0</v>
      </c>
      <c r="F111" s="29">
        <v>4</v>
      </c>
      <c r="G111" s="29">
        <v>3</v>
      </c>
      <c r="H111" s="19" t="s">
        <v>261</v>
      </c>
      <c r="I111" s="29" t="s">
        <v>260</v>
      </c>
      <c r="J111" s="63">
        <v>0</v>
      </c>
      <c r="K111" s="63">
        <v>0</v>
      </c>
      <c r="L111" s="63">
        <v>4043.7</v>
      </c>
      <c r="M111" s="98">
        <v>0</v>
      </c>
      <c r="N111" s="98">
        <v>0</v>
      </c>
      <c r="O111" s="63">
        <v>0</v>
      </c>
      <c r="P111" s="63">
        <f>SUM(J111:O111)</f>
        <v>4043.7</v>
      </c>
      <c r="Q111" s="109">
        <v>2018</v>
      </c>
    </row>
    <row r="112" spans="1:17" s="66" customFormat="1" ht="63.75">
      <c r="A112" s="26" t="s">
        <v>259</v>
      </c>
      <c r="B112" s="29">
        <v>1</v>
      </c>
      <c r="C112" s="29">
        <v>1</v>
      </c>
      <c r="D112" s="29">
        <v>3</v>
      </c>
      <c r="E112" s="29">
        <v>0</v>
      </c>
      <c r="F112" s="29">
        <v>4</v>
      </c>
      <c r="G112" s="29"/>
      <c r="H112" s="8" t="s">
        <v>141</v>
      </c>
      <c r="I112" s="5" t="s">
        <v>265</v>
      </c>
      <c r="J112" s="62">
        <v>0</v>
      </c>
      <c r="K112" s="62">
        <v>0</v>
      </c>
      <c r="L112" s="62">
        <v>10</v>
      </c>
      <c r="M112" s="62">
        <v>0</v>
      </c>
      <c r="N112" s="62">
        <v>0</v>
      </c>
      <c r="O112" s="62">
        <v>0</v>
      </c>
      <c r="P112" s="62">
        <f>SUM(J112:O112)</f>
        <v>10</v>
      </c>
      <c r="Q112" s="64">
        <v>2018</v>
      </c>
    </row>
    <row r="113" spans="1:17" s="107" customFormat="1" ht="38.25">
      <c r="A113" s="26" t="s">
        <v>259</v>
      </c>
      <c r="B113" s="29">
        <v>1</v>
      </c>
      <c r="C113" s="29">
        <v>1</v>
      </c>
      <c r="D113" s="29">
        <v>3</v>
      </c>
      <c r="E113" s="29">
        <v>0</v>
      </c>
      <c r="F113" s="29">
        <v>4</v>
      </c>
      <c r="G113" s="29"/>
      <c r="H113" s="70" t="s">
        <v>36</v>
      </c>
      <c r="I113" s="5" t="s">
        <v>290</v>
      </c>
      <c r="J113" s="60">
        <v>0</v>
      </c>
      <c r="K113" s="60">
        <v>0</v>
      </c>
      <c r="L113" s="60">
        <v>5</v>
      </c>
      <c r="M113" s="60">
        <v>0</v>
      </c>
      <c r="N113" s="60">
        <v>0</v>
      </c>
      <c r="O113" s="60">
        <v>0</v>
      </c>
      <c r="P113" s="60">
        <f>SUM(J113:O113)</f>
        <v>5</v>
      </c>
      <c r="Q113" s="64">
        <v>2018</v>
      </c>
    </row>
    <row r="114" spans="1:28" s="120" customFormat="1" ht="25.5">
      <c r="A114" s="75" t="s">
        <v>259</v>
      </c>
      <c r="B114" s="76">
        <v>1</v>
      </c>
      <c r="C114" s="76">
        <v>1</v>
      </c>
      <c r="D114" s="76">
        <v>4</v>
      </c>
      <c r="E114" s="76">
        <v>0</v>
      </c>
      <c r="F114" s="76">
        <v>0</v>
      </c>
      <c r="G114" s="76"/>
      <c r="H114" s="77" t="s">
        <v>299</v>
      </c>
      <c r="I114" s="76" t="s">
        <v>260</v>
      </c>
      <c r="J114" s="78">
        <f aca="true" t="shared" si="26" ref="J114:O114">J115</f>
        <v>2671</v>
      </c>
      <c r="K114" s="78">
        <f t="shared" si="26"/>
        <v>2745.5</v>
      </c>
      <c r="L114" s="78">
        <f t="shared" si="26"/>
        <v>2449.1</v>
      </c>
      <c r="M114" s="78">
        <f t="shared" si="26"/>
        <v>1716</v>
      </c>
      <c r="N114" s="78">
        <f t="shared" si="26"/>
        <v>1716</v>
      </c>
      <c r="O114" s="78">
        <f t="shared" si="26"/>
        <v>2456.1</v>
      </c>
      <c r="P114" s="78">
        <f>J114+K114+L114+M114+N114+O114</f>
        <v>13753.7</v>
      </c>
      <c r="Q114" s="76">
        <v>2021</v>
      </c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</row>
    <row r="115" spans="1:28" s="120" customFormat="1" ht="12.75">
      <c r="A115" s="26" t="s">
        <v>259</v>
      </c>
      <c r="B115" s="29">
        <v>1</v>
      </c>
      <c r="C115" s="29">
        <v>1</v>
      </c>
      <c r="D115" s="29">
        <v>4</v>
      </c>
      <c r="E115" s="29">
        <v>0</v>
      </c>
      <c r="F115" s="29">
        <v>0</v>
      </c>
      <c r="G115" s="29">
        <v>3</v>
      </c>
      <c r="H115" s="19" t="s">
        <v>261</v>
      </c>
      <c r="I115" s="29" t="s">
        <v>260</v>
      </c>
      <c r="J115" s="18">
        <f aca="true" t="shared" si="27" ref="J115:O115">J121+J128</f>
        <v>2671</v>
      </c>
      <c r="K115" s="18">
        <f t="shared" si="27"/>
        <v>2745.5</v>
      </c>
      <c r="L115" s="63">
        <f>L121+L128</f>
        <v>2449.1</v>
      </c>
      <c r="M115" s="98">
        <f>M121+M128</f>
        <v>1716</v>
      </c>
      <c r="N115" s="98">
        <f>N121+N128</f>
        <v>1716</v>
      </c>
      <c r="O115" s="18">
        <f t="shared" si="27"/>
        <v>2456.1</v>
      </c>
      <c r="P115" s="63">
        <f>J115+K115+L115+M115+N115+O115</f>
        <v>13753.7</v>
      </c>
      <c r="Q115" s="29">
        <v>2021</v>
      </c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</row>
    <row r="116" spans="1:17" ht="51">
      <c r="A116" s="26" t="s">
        <v>259</v>
      </c>
      <c r="B116" s="29">
        <v>1</v>
      </c>
      <c r="C116" s="29">
        <v>1</v>
      </c>
      <c r="D116" s="29">
        <v>4</v>
      </c>
      <c r="E116" s="29">
        <v>0</v>
      </c>
      <c r="F116" s="29">
        <v>0</v>
      </c>
      <c r="G116" s="5"/>
      <c r="H116" s="8" t="s">
        <v>111</v>
      </c>
      <c r="I116" s="5" t="s">
        <v>265</v>
      </c>
      <c r="J116" s="4">
        <f aca="true" t="shared" si="28" ref="J116:P116">J115/J9*100</f>
        <v>0.2</v>
      </c>
      <c r="K116" s="71">
        <f t="shared" si="28"/>
        <v>0.2</v>
      </c>
      <c r="L116" s="71">
        <f>L115/L9*100</f>
        <v>0.2</v>
      </c>
      <c r="M116" s="71">
        <v>0.1</v>
      </c>
      <c r="N116" s="71">
        <v>0.1</v>
      </c>
      <c r="O116" s="4">
        <f t="shared" si="28"/>
        <v>0.2</v>
      </c>
      <c r="P116" s="4">
        <f t="shared" si="28"/>
        <v>0.2</v>
      </c>
      <c r="Q116" s="5">
        <v>2021</v>
      </c>
    </row>
    <row r="117" spans="1:17" ht="51">
      <c r="A117" s="26" t="s">
        <v>259</v>
      </c>
      <c r="B117" s="29">
        <v>1</v>
      </c>
      <c r="C117" s="29">
        <v>1</v>
      </c>
      <c r="D117" s="29">
        <v>4</v>
      </c>
      <c r="E117" s="29">
        <v>0</v>
      </c>
      <c r="F117" s="29">
        <v>0</v>
      </c>
      <c r="G117" s="5"/>
      <c r="H117" s="8" t="s">
        <v>60</v>
      </c>
      <c r="I117" s="5" t="s">
        <v>290</v>
      </c>
      <c r="J117" s="3">
        <v>98</v>
      </c>
      <c r="K117" s="3">
        <v>105</v>
      </c>
      <c r="L117" s="60">
        <v>106</v>
      </c>
      <c r="M117" s="60">
        <v>106</v>
      </c>
      <c r="N117" s="60">
        <v>106</v>
      </c>
      <c r="O117" s="3">
        <v>115</v>
      </c>
      <c r="P117" s="3">
        <f>SUM(J117:O117)</f>
        <v>636</v>
      </c>
      <c r="Q117" s="5">
        <v>2021</v>
      </c>
    </row>
    <row r="118" spans="1:17" ht="51">
      <c r="A118" s="81" t="s">
        <v>259</v>
      </c>
      <c r="B118" s="82">
        <v>1</v>
      </c>
      <c r="C118" s="82">
        <v>1</v>
      </c>
      <c r="D118" s="82">
        <v>4</v>
      </c>
      <c r="E118" s="82">
        <v>0</v>
      </c>
      <c r="F118" s="82">
        <v>1</v>
      </c>
      <c r="G118" s="83"/>
      <c r="H118" s="84" t="s">
        <v>219</v>
      </c>
      <c r="I118" s="83" t="s">
        <v>275</v>
      </c>
      <c r="J118" s="88" t="s">
        <v>276</v>
      </c>
      <c r="K118" s="88" t="s">
        <v>276</v>
      </c>
      <c r="L118" s="88" t="s">
        <v>276</v>
      </c>
      <c r="M118" s="88" t="s">
        <v>276</v>
      </c>
      <c r="N118" s="88" t="s">
        <v>276</v>
      </c>
      <c r="O118" s="88" t="s">
        <v>276</v>
      </c>
      <c r="P118" s="88" t="s">
        <v>276</v>
      </c>
      <c r="Q118" s="83">
        <v>2021</v>
      </c>
    </row>
    <row r="119" spans="1:17" ht="38.25">
      <c r="A119" s="26" t="s">
        <v>259</v>
      </c>
      <c r="B119" s="29">
        <v>1</v>
      </c>
      <c r="C119" s="29">
        <v>1</v>
      </c>
      <c r="D119" s="29">
        <v>4</v>
      </c>
      <c r="E119" s="29">
        <v>0</v>
      </c>
      <c r="F119" s="29">
        <v>1</v>
      </c>
      <c r="G119" s="5"/>
      <c r="H119" s="8" t="s">
        <v>59</v>
      </c>
      <c r="I119" s="5" t="s">
        <v>265</v>
      </c>
      <c r="J119" s="7">
        <v>100</v>
      </c>
      <c r="K119" s="7">
        <v>100</v>
      </c>
      <c r="L119" s="62">
        <v>100</v>
      </c>
      <c r="M119" s="62">
        <v>100</v>
      </c>
      <c r="N119" s="62">
        <v>100</v>
      </c>
      <c r="O119" s="7">
        <v>100</v>
      </c>
      <c r="P119" s="7">
        <v>100</v>
      </c>
      <c r="Q119" s="5">
        <v>2021</v>
      </c>
    </row>
    <row r="120" spans="1:28" s="120" customFormat="1" ht="38.25">
      <c r="A120" s="81" t="s">
        <v>259</v>
      </c>
      <c r="B120" s="82">
        <v>1</v>
      </c>
      <c r="C120" s="82">
        <v>1</v>
      </c>
      <c r="D120" s="82">
        <v>4</v>
      </c>
      <c r="E120" s="82">
        <v>0</v>
      </c>
      <c r="F120" s="82">
        <v>2</v>
      </c>
      <c r="G120" s="82"/>
      <c r="H120" s="122" t="s">
        <v>220</v>
      </c>
      <c r="I120" s="82" t="s">
        <v>260</v>
      </c>
      <c r="J120" s="85">
        <f aca="true" t="shared" si="29" ref="J120:O120">J121</f>
        <v>2271</v>
      </c>
      <c r="K120" s="85">
        <f>K121</f>
        <v>2345.5</v>
      </c>
      <c r="L120" s="85">
        <f>L121</f>
        <v>2249.1</v>
      </c>
      <c r="M120" s="85">
        <f t="shared" si="29"/>
        <v>1516</v>
      </c>
      <c r="N120" s="85">
        <f t="shared" si="29"/>
        <v>1516</v>
      </c>
      <c r="O120" s="85">
        <f t="shared" si="29"/>
        <v>2056.1</v>
      </c>
      <c r="P120" s="85">
        <f>P121</f>
        <v>11953.7</v>
      </c>
      <c r="Q120" s="82">
        <v>2021</v>
      </c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</row>
    <row r="121" spans="1:28" s="120" customFormat="1" ht="12.75">
      <c r="A121" s="26" t="s">
        <v>259</v>
      </c>
      <c r="B121" s="29">
        <v>1</v>
      </c>
      <c r="C121" s="29">
        <v>1</v>
      </c>
      <c r="D121" s="29">
        <v>4</v>
      </c>
      <c r="E121" s="29">
        <v>0</v>
      </c>
      <c r="F121" s="29">
        <v>2</v>
      </c>
      <c r="G121" s="29">
        <v>3</v>
      </c>
      <c r="H121" s="19" t="s">
        <v>261</v>
      </c>
      <c r="I121" s="29" t="s">
        <v>260</v>
      </c>
      <c r="J121" s="18">
        <f>2271</f>
        <v>2271</v>
      </c>
      <c r="K121" s="63">
        <v>2345.5</v>
      </c>
      <c r="L121" s="63">
        <v>2249.1</v>
      </c>
      <c r="M121" s="63">
        <v>1516</v>
      </c>
      <c r="N121" s="63">
        <v>1516</v>
      </c>
      <c r="O121" s="18">
        <v>2056.1</v>
      </c>
      <c r="P121" s="63">
        <f>SUM(J121:O121)</f>
        <v>11953.7</v>
      </c>
      <c r="Q121" s="29">
        <v>2021</v>
      </c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</row>
    <row r="122" spans="1:17" ht="38.25">
      <c r="A122" s="26" t="s">
        <v>259</v>
      </c>
      <c r="B122" s="29">
        <v>1</v>
      </c>
      <c r="C122" s="29">
        <v>1</v>
      </c>
      <c r="D122" s="29">
        <v>4</v>
      </c>
      <c r="E122" s="29">
        <v>0</v>
      </c>
      <c r="F122" s="29">
        <v>2</v>
      </c>
      <c r="G122" s="5"/>
      <c r="H122" s="9" t="s">
        <v>300</v>
      </c>
      <c r="I122" s="5" t="s">
        <v>290</v>
      </c>
      <c r="J122" s="3">
        <v>60</v>
      </c>
      <c r="K122" s="60">
        <f>65</f>
        <v>65</v>
      </c>
      <c r="L122" s="60">
        <v>56</v>
      </c>
      <c r="M122" s="60">
        <v>56</v>
      </c>
      <c r="N122" s="60">
        <v>56</v>
      </c>
      <c r="O122" s="3">
        <v>74</v>
      </c>
      <c r="P122" s="3">
        <f>SUM(J122:O122)</f>
        <v>367</v>
      </c>
      <c r="Q122" s="5">
        <v>2021</v>
      </c>
    </row>
    <row r="123" spans="1:17" ht="38.25">
      <c r="A123" s="26" t="s">
        <v>259</v>
      </c>
      <c r="B123" s="29">
        <v>1</v>
      </c>
      <c r="C123" s="29">
        <v>1</v>
      </c>
      <c r="D123" s="29">
        <v>4</v>
      </c>
      <c r="E123" s="29">
        <v>0</v>
      </c>
      <c r="F123" s="29">
        <v>2</v>
      </c>
      <c r="G123" s="5"/>
      <c r="H123" s="9" t="s">
        <v>112</v>
      </c>
      <c r="I123" s="5" t="s">
        <v>265</v>
      </c>
      <c r="J123" s="7">
        <v>9</v>
      </c>
      <c r="K123" s="62">
        <f>4/(28+7)*100</f>
        <v>11.4</v>
      </c>
      <c r="L123" s="62">
        <v>9</v>
      </c>
      <c r="M123" s="62">
        <v>12</v>
      </c>
      <c r="N123" s="62">
        <v>13</v>
      </c>
      <c r="O123" s="7">
        <v>14</v>
      </c>
      <c r="P123" s="7">
        <f>SUM(J123:O123)/6</f>
        <v>11.4</v>
      </c>
      <c r="Q123" s="5">
        <v>2021</v>
      </c>
    </row>
    <row r="124" spans="1:17" ht="38.25">
      <c r="A124" s="26" t="s">
        <v>259</v>
      </c>
      <c r="B124" s="29">
        <v>1</v>
      </c>
      <c r="C124" s="29">
        <v>1</v>
      </c>
      <c r="D124" s="29">
        <v>4</v>
      </c>
      <c r="E124" s="29">
        <v>0</v>
      </c>
      <c r="F124" s="29">
        <v>2</v>
      </c>
      <c r="G124" s="5"/>
      <c r="H124" s="9" t="s">
        <v>152</v>
      </c>
      <c r="I124" s="5" t="s">
        <v>290</v>
      </c>
      <c r="J124" s="3">
        <v>29</v>
      </c>
      <c r="K124" s="60">
        <v>29</v>
      </c>
      <c r="L124" s="60">
        <v>50</v>
      </c>
      <c r="M124" s="60">
        <v>50</v>
      </c>
      <c r="N124" s="60">
        <v>50</v>
      </c>
      <c r="O124" s="3">
        <v>29</v>
      </c>
      <c r="P124" s="3">
        <f>SUM(J124:O124)/6</f>
        <v>40</v>
      </c>
      <c r="Q124" s="5">
        <v>2021</v>
      </c>
    </row>
    <row r="125" spans="1:17" ht="38.25">
      <c r="A125" s="26" t="s">
        <v>259</v>
      </c>
      <c r="B125" s="29">
        <v>1</v>
      </c>
      <c r="C125" s="29">
        <v>1</v>
      </c>
      <c r="D125" s="29">
        <v>4</v>
      </c>
      <c r="E125" s="29">
        <v>0</v>
      </c>
      <c r="F125" s="29">
        <v>2</v>
      </c>
      <c r="G125" s="5"/>
      <c r="H125" s="9" t="s">
        <v>153</v>
      </c>
      <c r="I125" s="5" t="s">
        <v>290</v>
      </c>
      <c r="J125" s="3">
        <v>11</v>
      </c>
      <c r="K125" s="60">
        <v>11</v>
      </c>
      <c r="L125" s="60">
        <v>12</v>
      </c>
      <c r="M125" s="60">
        <v>12</v>
      </c>
      <c r="N125" s="60">
        <v>12</v>
      </c>
      <c r="O125" s="3">
        <v>11</v>
      </c>
      <c r="P125" s="3">
        <f>SUM(J125:O125)/6</f>
        <v>12</v>
      </c>
      <c r="Q125" s="5">
        <v>2021</v>
      </c>
    </row>
    <row r="126" spans="1:17" ht="38.25">
      <c r="A126" s="26" t="s">
        <v>259</v>
      </c>
      <c r="B126" s="29">
        <v>1</v>
      </c>
      <c r="C126" s="29">
        <v>1</v>
      </c>
      <c r="D126" s="29">
        <v>4</v>
      </c>
      <c r="E126" s="29">
        <v>0</v>
      </c>
      <c r="F126" s="29">
        <v>2</v>
      </c>
      <c r="G126" s="5"/>
      <c r="H126" s="9" t="s">
        <v>103</v>
      </c>
      <c r="I126" s="5" t="s">
        <v>279</v>
      </c>
      <c r="J126" s="3">
        <v>75</v>
      </c>
      <c r="K126" s="60">
        <f>115+29</f>
        <v>144</v>
      </c>
      <c r="L126" s="60">
        <v>184</v>
      </c>
      <c r="M126" s="60">
        <v>75</v>
      </c>
      <c r="N126" s="60">
        <v>75</v>
      </c>
      <c r="O126" s="3">
        <v>75</v>
      </c>
      <c r="P126" s="3">
        <f>SUM(J126:O126)/6</f>
        <v>105</v>
      </c>
      <c r="Q126" s="5">
        <v>2021</v>
      </c>
    </row>
    <row r="127" spans="1:28" s="120" customFormat="1" ht="38.25">
      <c r="A127" s="81" t="s">
        <v>259</v>
      </c>
      <c r="B127" s="82">
        <v>1</v>
      </c>
      <c r="C127" s="82">
        <v>1</v>
      </c>
      <c r="D127" s="82">
        <v>4</v>
      </c>
      <c r="E127" s="82">
        <v>0</v>
      </c>
      <c r="F127" s="82">
        <v>3</v>
      </c>
      <c r="G127" s="82"/>
      <c r="H127" s="86" t="s">
        <v>359</v>
      </c>
      <c r="I127" s="82" t="s">
        <v>260</v>
      </c>
      <c r="J127" s="85">
        <f aca="true" t="shared" si="30" ref="J127:O127">J128</f>
        <v>400</v>
      </c>
      <c r="K127" s="85">
        <f t="shared" si="30"/>
        <v>400</v>
      </c>
      <c r="L127" s="85">
        <f t="shared" si="30"/>
        <v>200</v>
      </c>
      <c r="M127" s="85">
        <f t="shared" si="30"/>
        <v>200</v>
      </c>
      <c r="N127" s="85">
        <f t="shared" si="30"/>
        <v>200</v>
      </c>
      <c r="O127" s="85">
        <f t="shared" si="30"/>
        <v>400</v>
      </c>
      <c r="P127" s="85">
        <f>SUM(P128:P128)</f>
        <v>1800</v>
      </c>
      <c r="Q127" s="82">
        <v>2021</v>
      </c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</row>
    <row r="128" spans="1:28" s="120" customFormat="1" ht="12.75">
      <c r="A128" s="26" t="s">
        <v>259</v>
      </c>
      <c r="B128" s="29">
        <v>1</v>
      </c>
      <c r="C128" s="29">
        <v>1</v>
      </c>
      <c r="D128" s="29">
        <v>4</v>
      </c>
      <c r="E128" s="29">
        <v>0</v>
      </c>
      <c r="F128" s="29">
        <v>3</v>
      </c>
      <c r="G128" s="29">
        <v>3</v>
      </c>
      <c r="H128" s="19" t="s">
        <v>261</v>
      </c>
      <c r="I128" s="29" t="s">
        <v>260</v>
      </c>
      <c r="J128" s="18">
        <v>400</v>
      </c>
      <c r="K128" s="63">
        <v>400</v>
      </c>
      <c r="L128" s="63">
        <v>200</v>
      </c>
      <c r="M128" s="63">
        <v>200</v>
      </c>
      <c r="N128" s="63">
        <v>200</v>
      </c>
      <c r="O128" s="18">
        <v>400</v>
      </c>
      <c r="P128" s="18">
        <f>SUM(J128:O128)</f>
        <v>1800</v>
      </c>
      <c r="Q128" s="29">
        <v>2021</v>
      </c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</row>
    <row r="129" spans="1:17" ht="51">
      <c r="A129" s="26" t="s">
        <v>259</v>
      </c>
      <c r="B129" s="29">
        <v>1</v>
      </c>
      <c r="C129" s="29">
        <v>1</v>
      </c>
      <c r="D129" s="29">
        <v>4</v>
      </c>
      <c r="E129" s="29">
        <v>0</v>
      </c>
      <c r="F129" s="29">
        <v>3</v>
      </c>
      <c r="G129" s="5"/>
      <c r="H129" s="8" t="s">
        <v>301</v>
      </c>
      <c r="I129" s="5" t="s">
        <v>290</v>
      </c>
      <c r="J129" s="3">
        <v>2</v>
      </c>
      <c r="K129" s="60">
        <v>4</v>
      </c>
      <c r="L129" s="60">
        <v>3</v>
      </c>
      <c r="M129" s="60">
        <v>2</v>
      </c>
      <c r="N129" s="60">
        <v>2</v>
      </c>
      <c r="O129" s="3">
        <v>2</v>
      </c>
      <c r="P129" s="3">
        <f>SUM(J129:O129)</f>
        <v>15</v>
      </c>
      <c r="Q129" s="5">
        <v>2021</v>
      </c>
    </row>
    <row r="130" spans="1:28" s="120" customFormat="1" ht="63.75">
      <c r="A130" s="75" t="s">
        <v>259</v>
      </c>
      <c r="B130" s="76">
        <v>1</v>
      </c>
      <c r="C130" s="76">
        <v>1</v>
      </c>
      <c r="D130" s="76">
        <v>5</v>
      </c>
      <c r="E130" s="76">
        <v>0</v>
      </c>
      <c r="F130" s="76">
        <v>0</v>
      </c>
      <c r="G130" s="76"/>
      <c r="H130" s="77" t="s">
        <v>26</v>
      </c>
      <c r="I130" s="76" t="s">
        <v>260</v>
      </c>
      <c r="J130" s="78">
        <f aca="true" t="shared" si="31" ref="J130:O130">J131</f>
        <v>588</v>
      </c>
      <c r="K130" s="78">
        <f>K131</f>
        <v>588</v>
      </c>
      <c r="L130" s="78">
        <f>L131</f>
        <v>488</v>
      </c>
      <c r="M130" s="78">
        <f t="shared" si="31"/>
        <v>488</v>
      </c>
      <c r="N130" s="78">
        <f t="shared" si="31"/>
        <v>488</v>
      </c>
      <c r="O130" s="78">
        <f t="shared" si="31"/>
        <v>643.9</v>
      </c>
      <c r="P130" s="78">
        <f>J130+K130+L130+M130+N130+O130</f>
        <v>3283.9</v>
      </c>
      <c r="Q130" s="76">
        <v>2021</v>
      </c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</row>
    <row r="131" spans="1:28" s="120" customFormat="1" ht="12.75">
      <c r="A131" s="26" t="s">
        <v>259</v>
      </c>
      <c r="B131" s="29">
        <v>1</v>
      </c>
      <c r="C131" s="29">
        <v>1</v>
      </c>
      <c r="D131" s="29">
        <v>5</v>
      </c>
      <c r="E131" s="29">
        <v>0</v>
      </c>
      <c r="F131" s="29">
        <v>0</v>
      </c>
      <c r="G131" s="29">
        <v>3</v>
      </c>
      <c r="H131" s="19" t="s">
        <v>261</v>
      </c>
      <c r="I131" s="29" t="s">
        <v>260</v>
      </c>
      <c r="J131" s="18">
        <f aca="true" t="shared" si="32" ref="J131:O131">J138+J143+J149</f>
        <v>588</v>
      </c>
      <c r="K131" s="18">
        <f t="shared" si="32"/>
        <v>588</v>
      </c>
      <c r="L131" s="63">
        <f>L138+L143+L149</f>
        <v>488</v>
      </c>
      <c r="M131" s="98">
        <f>M138+M143+M149</f>
        <v>488</v>
      </c>
      <c r="N131" s="98">
        <f>N138+N143+N149</f>
        <v>488</v>
      </c>
      <c r="O131" s="18">
        <f t="shared" si="32"/>
        <v>643.9</v>
      </c>
      <c r="P131" s="63">
        <f>J131+K131+L131+M131+N131+O131</f>
        <v>3283.9</v>
      </c>
      <c r="Q131" s="29">
        <v>2021</v>
      </c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</row>
    <row r="132" spans="1:17" ht="63.75">
      <c r="A132" s="26" t="s">
        <v>259</v>
      </c>
      <c r="B132" s="29">
        <v>1</v>
      </c>
      <c r="C132" s="29">
        <v>1</v>
      </c>
      <c r="D132" s="29">
        <v>5</v>
      </c>
      <c r="E132" s="29">
        <v>0</v>
      </c>
      <c r="F132" s="29">
        <v>0</v>
      </c>
      <c r="G132" s="5"/>
      <c r="H132" s="8" t="s">
        <v>302</v>
      </c>
      <c r="I132" s="5" t="s">
        <v>265</v>
      </c>
      <c r="J132" s="7">
        <v>20</v>
      </c>
      <c r="K132" s="62">
        <v>20.3</v>
      </c>
      <c r="L132" s="62">
        <v>19.9</v>
      </c>
      <c r="M132" s="62">
        <v>19.8</v>
      </c>
      <c r="N132" s="62">
        <v>19.9</v>
      </c>
      <c r="O132" s="7">
        <v>20</v>
      </c>
      <c r="P132" s="7">
        <f>SUM(J132:O132)/6</f>
        <v>20</v>
      </c>
      <c r="Q132" s="5">
        <v>2021</v>
      </c>
    </row>
    <row r="133" spans="1:17" ht="51">
      <c r="A133" s="26" t="s">
        <v>259</v>
      </c>
      <c r="B133" s="29">
        <v>1</v>
      </c>
      <c r="C133" s="29">
        <v>1</v>
      </c>
      <c r="D133" s="29">
        <v>5</v>
      </c>
      <c r="E133" s="29">
        <v>0</v>
      </c>
      <c r="F133" s="29">
        <v>0</v>
      </c>
      <c r="G133" s="5"/>
      <c r="H133" s="8" t="s">
        <v>303</v>
      </c>
      <c r="I133" s="5" t="s">
        <v>265</v>
      </c>
      <c r="J133" s="7">
        <v>26</v>
      </c>
      <c r="K133" s="62">
        <v>31.8</v>
      </c>
      <c r="L133" s="62">
        <v>35</v>
      </c>
      <c r="M133" s="62">
        <v>31.7</v>
      </c>
      <c r="N133" s="62">
        <v>31.7</v>
      </c>
      <c r="O133" s="7">
        <v>36.3</v>
      </c>
      <c r="P133" s="7">
        <f>SUM(J133:O133)/6</f>
        <v>32.1</v>
      </c>
      <c r="Q133" s="5">
        <v>2021</v>
      </c>
    </row>
    <row r="134" spans="1:17" ht="51" customHeight="1">
      <c r="A134" s="81" t="s">
        <v>259</v>
      </c>
      <c r="B134" s="82">
        <v>1</v>
      </c>
      <c r="C134" s="82">
        <v>1</v>
      </c>
      <c r="D134" s="82">
        <v>5</v>
      </c>
      <c r="E134" s="82">
        <v>0</v>
      </c>
      <c r="F134" s="82">
        <v>1</v>
      </c>
      <c r="G134" s="83"/>
      <c r="H134" s="84" t="s">
        <v>221</v>
      </c>
      <c r="I134" s="83" t="s">
        <v>275</v>
      </c>
      <c r="J134" s="88" t="s">
        <v>276</v>
      </c>
      <c r="K134" s="88" t="s">
        <v>276</v>
      </c>
      <c r="L134" s="88" t="s">
        <v>276</v>
      </c>
      <c r="M134" s="88" t="s">
        <v>276</v>
      </c>
      <c r="N134" s="88" t="s">
        <v>276</v>
      </c>
      <c r="O134" s="88" t="s">
        <v>276</v>
      </c>
      <c r="P134" s="88" t="s">
        <v>276</v>
      </c>
      <c r="Q134" s="83">
        <v>2021</v>
      </c>
    </row>
    <row r="135" spans="1:17" ht="51" customHeight="1">
      <c r="A135" s="26" t="s">
        <v>259</v>
      </c>
      <c r="B135" s="29">
        <v>1</v>
      </c>
      <c r="C135" s="29">
        <v>1</v>
      </c>
      <c r="D135" s="29">
        <v>5</v>
      </c>
      <c r="E135" s="29">
        <v>0</v>
      </c>
      <c r="F135" s="29">
        <v>1</v>
      </c>
      <c r="G135" s="5"/>
      <c r="H135" s="8" t="s">
        <v>170</v>
      </c>
      <c r="I135" s="5" t="s">
        <v>290</v>
      </c>
      <c r="J135" s="3">
        <v>10</v>
      </c>
      <c r="K135" s="60">
        <v>10</v>
      </c>
      <c r="L135" s="60">
        <v>10</v>
      </c>
      <c r="M135" s="60">
        <v>10</v>
      </c>
      <c r="N135" s="60">
        <v>10</v>
      </c>
      <c r="O135" s="3">
        <v>10</v>
      </c>
      <c r="P135" s="3">
        <f>SUM(J135:O135)</f>
        <v>60</v>
      </c>
      <c r="Q135" s="5">
        <v>2021</v>
      </c>
    </row>
    <row r="136" spans="1:17" ht="51">
      <c r="A136" s="26" t="s">
        <v>259</v>
      </c>
      <c r="B136" s="29">
        <v>1</v>
      </c>
      <c r="C136" s="29">
        <v>1</v>
      </c>
      <c r="D136" s="29">
        <v>5</v>
      </c>
      <c r="E136" s="29">
        <v>0</v>
      </c>
      <c r="F136" s="29">
        <v>1</v>
      </c>
      <c r="G136" s="5"/>
      <c r="H136" s="8" t="s">
        <v>58</v>
      </c>
      <c r="I136" s="5" t="s">
        <v>265</v>
      </c>
      <c r="J136" s="7">
        <v>100</v>
      </c>
      <c r="K136" s="62">
        <v>100</v>
      </c>
      <c r="L136" s="62">
        <v>100</v>
      </c>
      <c r="M136" s="62">
        <v>100</v>
      </c>
      <c r="N136" s="62">
        <v>100</v>
      </c>
      <c r="O136" s="7">
        <v>100</v>
      </c>
      <c r="P136" s="7">
        <v>100</v>
      </c>
      <c r="Q136" s="5">
        <v>2021</v>
      </c>
    </row>
    <row r="137" spans="1:28" s="120" customFormat="1" ht="76.5">
      <c r="A137" s="81" t="s">
        <v>259</v>
      </c>
      <c r="B137" s="82">
        <v>1</v>
      </c>
      <c r="C137" s="82">
        <v>1</v>
      </c>
      <c r="D137" s="82">
        <v>5</v>
      </c>
      <c r="E137" s="82">
        <v>0</v>
      </c>
      <c r="F137" s="82">
        <v>2</v>
      </c>
      <c r="G137" s="82"/>
      <c r="H137" s="122" t="s">
        <v>222</v>
      </c>
      <c r="I137" s="82" t="s">
        <v>260</v>
      </c>
      <c r="J137" s="85">
        <v>93</v>
      </c>
      <c r="K137" s="85">
        <f aca="true" t="shared" si="33" ref="K137:P137">K138</f>
        <v>255</v>
      </c>
      <c r="L137" s="85">
        <f t="shared" si="33"/>
        <v>155</v>
      </c>
      <c r="M137" s="85">
        <f t="shared" si="33"/>
        <v>155</v>
      </c>
      <c r="N137" s="85">
        <f t="shared" si="33"/>
        <v>155</v>
      </c>
      <c r="O137" s="85">
        <f t="shared" si="33"/>
        <v>19.3</v>
      </c>
      <c r="P137" s="85">
        <f t="shared" si="33"/>
        <v>832.3</v>
      </c>
      <c r="Q137" s="82">
        <v>2021</v>
      </c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</row>
    <row r="138" spans="1:28" s="120" customFormat="1" ht="12.75">
      <c r="A138" s="26" t="s">
        <v>259</v>
      </c>
      <c r="B138" s="29">
        <v>1</v>
      </c>
      <c r="C138" s="29">
        <v>1</v>
      </c>
      <c r="D138" s="29">
        <v>5</v>
      </c>
      <c r="E138" s="29">
        <v>0</v>
      </c>
      <c r="F138" s="29">
        <v>2</v>
      </c>
      <c r="G138" s="29">
        <v>3</v>
      </c>
      <c r="H138" s="19" t="s">
        <v>261</v>
      </c>
      <c r="I138" s="29" t="s">
        <v>260</v>
      </c>
      <c r="J138" s="18">
        <v>93</v>
      </c>
      <c r="K138" s="63">
        <v>255</v>
      </c>
      <c r="L138" s="63">
        <v>155</v>
      </c>
      <c r="M138" s="63">
        <v>155</v>
      </c>
      <c r="N138" s="63">
        <v>155</v>
      </c>
      <c r="O138" s="18">
        <v>19.3</v>
      </c>
      <c r="P138" s="18">
        <f>SUM(J138:O138)</f>
        <v>832.3</v>
      </c>
      <c r="Q138" s="29">
        <v>2021</v>
      </c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</row>
    <row r="139" spans="1:17" ht="38.25">
      <c r="A139" s="26" t="s">
        <v>259</v>
      </c>
      <c r="B139" s="29">
        <v>1</v>
      </c>
      <c r="C139" s="29">
        <v>1</v>
      </c>
      <c r="D139" s="29">
        <v>5</v>
      </c>
      <c r="E139" s="29">
        <v>0</v>
      </c>
      <c r="F139" s="29">
        <v>2</v>
      </c>
      <c r="G139" s="5"/>
      <c r="H139" s="9" t="s">
        <v>246</v>
      </c>
      <c r="I139" s="5" t="s">
        <v>290</v>
      </c>
      <c r="J139" s="3">
        <v>6</v>
      </c>
      <c r="K139" s="60">
        <f>7+6</f>
        <v>13</v>
      </c>
      <c r="L139" s="60">
        <v>8</v>
      </c>
      <c r="M139" s="60">
        <v>9</v>
      </c>
      <c r="N139" s="60">
        <v>10</v>
      </c>
      <c r="O139" s="3">
        <v>11</v>
      </c>
      <c r="P139" s="3">
        <f>SUM(J139:O139)</f>
        <v>57</v>
      </c>
      <c r="Q139" s="5">
        <v>2021</v>
      </c>
    </row>
    <row r="140" spans="1:17" ht="76.5">
      <c r="A140" s="26" t="s">
        <v>259</v>
      </c>
      <c r="B140" s="29">
        <v>1</v>
      </c>
      <c r="C140" s="29">
        <v>1</v>
      </c>
      <c r="D140" s="29">
        <v>5</v>
      </c>
      <c r="E140" s="29">
        <v>0</v>
      </c>
      <c r="F140" s="29">
        <v>2</v>
      </c>
      <c r="G140" s="5"/>
      <c r="H140" s="9" t="s">
        <v>69</v>
      </c>
      <c r="I140" s="5" t="s">
        <v>290</v>
      </c>
      <c r="J140" s="3">
        <v>5</v>
      </c>
      <c r="K140" s="60">
        <f>6-1</f>
        <v>5</v>
      </c>
      <c r="L140" s="60">
        <v>6</v>
      </c>
      <c r="M140" s="60">
        <v>7</v>
      </c>
      <c r="N140" s="60">
        <v>7</v>
      </c>
      <c r="O140" s="3">
        <v>10</v>
      </c>
      <c r="P140" s="3">
        <f>SUM(J140:O140)</f>
        <v>40</v>
      </c>
      <c r="Q140" s="5">
        <v>2021</v>
      </c>
    </row>
    <row r="141" spans="1:17" ht="38.25">
      <c r="A141" s="26" t="s">
        <v>259</v>
      </c>
      <c r="B141" s="29">
        <v>1</v>
      </c>
      <c r="C141" s="29">
        <v>1</v>
      </c>
      <c r="D141" s="29">
        <v>5</v>
      </c>
      <c r="E141" s="29">
        <v>0</v>
      </c>
      <c r="F141" s="29">
        <v>2</v>
      </c>
      <c r="G141" s="5"/>
      <c r="H141" s="9" t="s">
        <v>113</v>
      </c>
      <c r="I141" s="5" t="s">
        <v>279</v>
      </c>
      <c r="J141" s="3">
        <v>45</v>
      </c>
      <c r="K141" s="3">
        <v>100</v>
      </c>
      <c r="L141" s="60">
        <v>260</v>
      </c>
      <c r="M141" s="60">
        <v>120</v>
      </c>
      <c r="N141" s="60">
        <v>60</v>
      </c>
      <c r="O141" s="3">
        <v>60</v>
      </c>
      <c r="P141" s="3">
        <f>SUM(J141:O141)</f>
        <v>645</v>
      </c>
      <c r="Q141" s="5">
        <v>2021</v>
      </c>
    </row>
    <row r="142" spans="1:28" s="120" customFormat="1" ht="87" customHeight="1">
      <c r="A142" s="81" t="s">
        <v>259</v>
      </c>
      <c r="B142" s="82">
        <v>1</v>
      </c>
      <c r="C142" s="82">
        <v>1</v>
      </c>
      <c r="D142" s="82">
        <v>5</v>
      </c>
      <c r="E142" s="82">
        <v>0</v>
      </c>
      <c r="F142" s="82">
        <v>3</v>
      </c>
      <c r="G142" s="82"/>
      <c r="H142" s="122" t="s">
        <v>223</v>
      </c>
      <c r="I142" s="82" t="s">
        <v>260</v>
      </c>
      <c r="J142" s="85">
        <f aca="true" t="shared" si="34" ref="J142:O142">J143</f>
        <v>295</v>
      </c>
      <c r="K142" s="85">
        <f t="shared" si="34"/>
        <v>188</v>
      </c>
      <c r="L142" s="85">
        <f t="shared" si="34"/>
        <v>188</v>
      </c>
      <c r="M142" s="85">
        <f t="shared" si="34"/>
        <v>188</v>
      </c>
      <c r="N142" s="85">
        <f t="shared" si="34"/>
        <v>188</v>
      </c>
      <c r="O142" s="85">
        <f t="shared" si="34"/>
        <v>404.8</v>
      </c>
      <c r="P142" s="85">
        <f>P143</f>
        <v>1451.8</v>
      </c>
      <c r="Q142" s="82">
        <v>2021</v>
      </c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</row>
    <row r="143" spans="1:28" s="120" customFormat="1" ht="12.75">
      <c r="A143" s="26" t="s">
        <v>259</v>
      </c>
      <c r="B143" s="29">
        <v>1</v>
      </c>
      <c r="C143" s="29">
        <v>1</v>
      </c>
      <c r="D143" s="29">
        <v>5</v>
      </c>
      <c r="E143" s="29">
        <v>0</v>
      </c>
      <c r="F143" s="29">
        <v>3</v>
      </c>
      <c r="G143" s="29">
        <v>3</v>
      </c>
      <c r="H143" s="19" t="s">
        <v>261</v>
      </c>
      <c r="I143" s="29" t="s">
        <v>260</v>
      </c>
      <c r="J143" s="18">
        <v>295</v>
      </c>
      <c r="K143" s="63">
        <v>188</v>
      </c>
      <c r="L143" s="63">
        <v>188</v>
      </c>
      <c r="M143" s="63">
        <v>188</v>
      </c>
      <c r="N143" s="63">
        <v>188</v>
      </c>
      <c r="O143" s="18">
        <v>404.8</v>
      </c>
      <c r="P143" s="18">
        <f>SUM(J143:O143)</f>
        <v>1451.8</v>
      </c>
      <c r="Q143" s="29">
        <v>2021</v>
      </c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</row>
    <row r="144" spans="1:17" ht="51">
      <c r="A144" s="26" t="s">
        <v>259</v>
      </c>
      <c r="B144" s="29">
        <v>1</v>
      </c>
      <c r="C144" s="29">
        <v>1</v>
      </c>
      <c r="D144" s="29">
        <v>5</v>
      </c>
      <c r="E144" s="29">
        <v>0</v>
      </c>
      <c r="F144" s="29">
        <v>3</v>
      </c>
      <c r="G144" s="5"/>
      <c r="H144" s="9" t="s">
        <v>104</v>
      </c>
      <c r="I144" s="5" t="s">
        <v>290</v>
      </c>
      <c r="J144" s="3">
        <v>1</v>
      </c>
      <c r="K144" s="60">
        <v>1</v>
      </c>
      <c r="L144" s="60">
        <v>1</v>
      </c>
      <c r="M144" s="60">
        <v>1</v>
      </c>
      <c r="N144" s="60">
        <v>1</v>
      </c>
      <c r="O144" s="3">
        <v>1</v>
      </c>
      <c r="P144" s="3">
        <f>SUM(J144:O144)</f>
        <v>6</v>
      </c>
      <c r="Q144" s="5">
        <v>2021</v>
      </c>
    </row>
    <row r="145" spans="1:17" ht="38.25">
      <c r="A145" s="26" t="s">
        <v>259</v>
      </c>
      <c r="B145" s="29">
        <v>1</v>
      </c>
      <c r="C145" s="29">
        <v>1</v>
      </c>
      <c r="D145" s="29">
        <v>5</v>
      </c>
      <c r="E145" s="29">
        <v>0</v>
      </c>
      <c r="F145" s="29">
        <v>3</v>
      </c>
      <c r="G145" s="5"/>
      <c r="H145" s="9" t="s">
        <v>53</v>
      </c>
      <c r="I145" s="5" t="s">
        <v>279</v>
      </c>
      <c r="J145" s="3">
        <v>225</v>
      </c>
      <c r="K145" s="60">
        <v>230</v>
      </c>
      <c r="L145" s="60">
        <v>68</v>
      </c>
      <c r="M145" s="60">
        <v>100</v>
      </c>
      <c r="N145" s="60">
        <v>100</v>
      </c>
      <c r="O145" s="3">
        <v>250</v>
      </c>
      <c r="P145" s="3">
        <f>SUM(J145:O145)</f>
        <v>973</v>
      </c>
      <c r="Q145" s="5">
        <v>2021</v>
      </c>
    </row>
    <row r="146" spans="1:17" ht="38.25">
      <c r="A146" s="26" t="s">
        <v>259</v>
      </c>
      <c r="B146" s="29">
        <v>1</v>
      </c>
      <c r="C146" s="29">
        <v>1</v>
      </c>
      <c r="D146" s="29">
        <v>5</v>
      </c>
      <c r="E146" s="29">
        <v>0</v>
      </c>
      <c r="F146" s="29">
        <v>3</v>
      </c>
      <c r="G146" s="5"/>
      <c r="H146" s="9" t="s">
        <v>114</v>
      </c>
      <c r="I146" s="5" t="s">
        <v>290</v>
      </c>
      <c r="J146" s="3">
        <v>1</v>
      </c>
      <c r="K146" s="60">
        <v>1</v>
      </c>
      <c r="L146" s="60">
        <v>1</v>
      </c>
      <c r="M146" s="60">
        <v>1</v>
      </c>
      <c r="N146" s="60">
        <v>1</v>
      </c>
      <c r="O146" s="3">
        <v>1</v>
      </c>
      <c r="P146" s="3">
        <f>SUM(J146:O146)</f>
        <v>6</v>
      </c>
      <c r="Q146" s="5">
        <v>2021</v>
      </c>
    </row>
    <row r="147" spans="1:17" ht="25.5">
      <c r="A147" s="26" t="s">
        <v>259</v>
      </c>
      <c r="B147" s="29">
        <v>1</v>
      </c>
      <c r="C147" s="29">
        <v>1</v>
      </c>
      <c r="D147" s="29">
        <v>5</v>
      </c>
      <c r="E147" s="29">
        <v>0</v>
      </c>
      <c r="F147" s="29">
        <v>3</v>
      </c>
      <c r="G147" s="5"/>
      <c r="H147" s="9" t="s">
        <v>115</v>
      </c>
      <c r="I147" s="5" t="s">
        <v>279</v>
      </c>
      <c r="J147" s="3">
        <v>15</v>
      </c>
      <c r="K147" s="60">
        <f>12+20</f>
        <v>32</v>
      </c>
      <c r="L147" s="60">
        <v>62</v>
      </c>
      <c r="M147" s="60">
        <v>17</v>
      </c>
      <c r="N147" s="60">
        <v>30</v>
      </c>
      <c r="O147" s="3">
        <v>34</v>
      </c>
      <c r="P147" s="3">
        <f>SUM(J147:O147)</f>
        <v>190</v>
      </c>
      <c r="Q147" s="5">
        <v>2021</v>
      </c>
    </row>
    <row r="148" spans="1:28" s="120" customFormat="1" ht="63.75">
      <c r="A148" s="81" t="s">
        <v>259</v>
      </c>
      <c r="B148" s="82">
        <v>1</v>
      </c>
      <c r="C148" s="82">
        <v>1</v>
      </c>
      <c r="D148" s="82">
        <v>5</v>
      </c>
      <c r="E148" s="82">
        <v>0</v>
      </c>
      <c r="F148" s="82">
        <v>4</v>
      </c>
      <c r="G148" s="82">
        <v>3</v>
      </c>
      <c r="H148" s="86" t="s">
        <v>369</v>
      </c>
      <c r="I148" s="82" t="s">
        <v>260</v>
      </c>
      <c r="J148" s="85">
        <f aca="true" t="shared" si="35" ref="J148:O148">J149</f>
        <v>200</v>
      </c>
      <c r="K148" s="85">
        <f>K149</f>
        <v>145</v>
      </c>
      <c r="L148" s="85">
        <f>L149</f>
        <v>145</v>
      </c>
      <c r="M148" s="85">
        <f t="shared" si="35"/>
        <v>145</v>
      </c>
      <c r="N148" s="85">
        <f t="shared" si="35"/>
        <v>145</v>
      </c>
      <c r="O148" s="85">
        <f t="shared" si="35"/>
        <v>219.8</v>
      </c>
      <c r="P148" s="85">
        <f>P149</f>
        <v>999.8</v>
      </c>
      <c r="Q148" s="82">
        <v>2021</v>
      </c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</row>
    <row r="149" spans="1:28" s="120" customFormat="1" ht="12.75">
      <c r="A149" s="26" t="s">
        <v>259</v>
      </c>
      <c r="B149" s="29">
        <v>1</v>
      </c>
      <c r="C149" s="29">
        <v>1</v>
      </c>
      <c r="D149" s="29">
        <v>5</v>
      </c>
      <c r="E149" s="29">
        <v>0</v>
      </c>
      <c r="F149" s="29">
        <v>4</v>
      </c>
      <c r="G149" s="29">
        <v>3</v>
      </c>
      <c r="H149" s="19" t="s">
        <v>261</v>
      </c>
      <c r="I149" s="29" t="s">
        <v>260</v>
      </c>
      <c r="J149" s="18">
        <v>200</v>
      </c>
      <c r="K149" s="63">
        <v>145</v>
      </c>
      <c r="L149" s="63">
        <v>145</v>
      </c>
      <c r="M149" s="63">
        <v>145</v>
      </c>
      <c r="N149" s="63">
        <v>145</v>
      </c>
      <c r="O149" s="18">
        <v>219.8</v>
      </c>
      <c r="P149" s="18">
        <f>SUM(J149:O149)</f>
        <v>999.8</v>
      </c>
      <c r="Q149" s="29">
        <v>2021</v>
      </c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</row>
    <row r="150" spans="1:17" ht="51">
      <c r="A150" s="26" t="s">
        <v>259</v>
      </c>
      <c r="B150" s="29">
        <v>1</v>
      </c>
      <c r="C150" s="29">
        <v>1</v>
      </c>
      <c r="D150" s="29">
        <v>5</v>
      </c>
      <c r="E150" s="29">
        <v>0</v>
      </c>
      <c r="F150" s="29">
        <v>4</v>
      </c>
      <c r="G150" s="5"/>
      <c r="H150" s="9" t="s">
        <v>116</v>
      </c>
      <c r="I150" s="5" t="s">
        <v>290</v>
      </c>
      <c r="J150" s="3">
        <v>6</v>
      </c>
      <c r="K150" s="60">
        <v>7</v>
      </c>
      <c r="L150" s="60">
        <v>11</v>
      </c>
      <c r="M150" s="60">
        <v>7</v>
      </c>
      <c r="N150" s="60">
        <v>7</v>
      </c>
      <c r="O150" s="3">
        <v>8</v>
      </c>
      <c r="P150" s="3">
        <f>SUM(J150:O150)</f>
        <v>46</v>
      </c>
      <c r="Q150" s="5">
        <v>2021</v>
      </c>
    </row>
    <row r="151" spans="1:17" ht="51">
      <c r="A151" s="26" t="s">
        <v>259</v>
      </c>
      <c r="B151" s="29">
        <v>1</v>
      </c>
      <c r="C151" s="29">
        <v>1</v>
      </c>
      <c r="D151" s="29">
        <v>5</v>
      </c>
      <c r="E151" s="29">
        <v>0</v>
      </c>
      <c r="F151" s="29">
        <v>4</v>
      </c>
      <c r="G151" s="5"/>
      <c r="H151" s="9" t="s">
        <v>117</v>
      </c>
      <c r="I151" s="5" t="s">
        <v>290</v>
      </c>
      <c r="J151" s="3">
        <v>4</v>
      </c>
      <c r="K151" s="60">
        <v>4</v>
      </c>
      <c r="L151" s="60">
        <v>9</v>
      </c>
      <c r="M151" s="60">
        <v>4</v>
      </c>
      <c r="N151" s="60">
        <v>2</v>
      </c>
      <c r="O151" s="3">
        <v>4</v>
      </c>
      <c r="P151" s="3">
        <f>SUM(J151:O151)</f>
        <v>27</v>
      </c>
      <c r="Q151" s="5">
        <v>2021</v>
      </c>
    </row>
    <row r="152" spans="1:28" s="120" customFormat="1" ht="38.25">
      <c r="A152" s="75" t="s">
        <v>259</v>
      </c>
      <c r="B152" s="76">
        <v>1</v>
      </c>
      <c r="C152" s="76">
        <v>1</v>
      </c>
      <c r="D152" s="76">
        <v>6</v>
      </c>
      <c r="E152" s="76">
        <v>0</v>
      </c>
      <c r="F152" s="76">
        <v>0</v>
      </c>
      <c r="G152" s="76"/>
      <c r="H152" s="77" t="s">
        <v>304</v>
      </c>
      <c r="I152" s="76" t="s">
        <v>260</v>
      </c>
      <c r="J152" s="80">
        <f aca="true" t="shared" si="36" ref="J152:O152">J153</f>
        <v>4523</v>
      </c>
      <c r="K152" s="80">
        <f t="shared" si="36"/>
        <v>6768</v>
      </c>
      <c r="L152" s="182">
        <f t="shared" si="36"/>
        <v>6527.3</v>
      </c>
      <c r="M152" s="80">
        <f t="shared" si="36"/>
        <v>6757.9</v>
      </c>
      <c r="N152" s="80">
        <f t="shared" si="36"/>
        <v>6757.9</v>
      </c>
      <c r="O152" s="80">
        <f t="shared" si="36"/>
        <v>3466.8</v>
      </c>
      <c r="P152" s="78">
        <f>J152+K152+L152+M152+N152+O152</f>
        <v>34800.9</v>
      </c>
      <c r="Q152" s="76">
        <v>2021</v>
      </c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</row>
    <row r="153" spans="1:28" s="120" customFormat="1" ht="12.75">
      <c r="A153" s="26" t="s">
        <v>259</v>
      </c>
      <c r="B153" s="29">
        <v>1</v>
      </c>
      <c r="C153" s="29">
        <v>1</v>
      </c>
      <c r="D153" s="29">
        <v>6</v>
      </c>
      <c r="E153" s="29">
        <v>0</v>
      </c>
      <c r="F153" s="29">
        <v>0</v>
      </c>
      <c r="G153" s="29">
        <v>3</v>
      </c>
      <c r="H153" s="19" t="s">
        <v>261</v>
      </c>
      <c r="I153" s="29" t="s">
        <v>260</v>
      </c>
      <c r="J153" s="18">
        <f aca="true" t="shared" si="37" ref="J153:O153">J161+J170+J174</f>
        <v>4523</v>
      </c>
      <c r="K153" s="18">
        <f t="shared" si="37"/>
        <v>6768</v>
      </c>
      <c r="L153" s="148">
        <f>L161+L170+L174</f>
        <v>6527.3</v>
      </c>
      <c r="M153" s="98">
        <f>M161+M170+M174</f>
        <v>6757.9</v>
      </c>
      <c r="N153" s="98">
        <f>N161+N170+N174</f>
        <v>6757.9</v>
      </c>
      <c r="O153" s="18">
        <f t="shared" si="37"/>
        <v>3466.8</v>
      </c>
      <c r="P153" s="63">
        <f>J153+K153+L153+M153+N153+O153</f>
        <v>34800.9</v>
      </c>
      <c r="Q153" s="29">
        <v>2021</v>
      </c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</row>
    <row r="154" spans="1:17" ht="25.5">
      <c r="A154" s="26" t="s">
        <v>259</v>
      </c>
      <c r="B154" s="29">
        <v>1</v>
      </c>
      <c r="C154" s="29">
        <v>1</v>
      </c>
      <c r="D154" s="29">
        <v>6</v>
      </c>
      <c r="E154" s="29">
        <v>0</v>
      </c>
      <c r="F154" s="29">
        <v>0</v>
      </c>
      <c r="G154" s="5"/>
      <c r="H154" s="8" t="s">
        <v>305</v>
      </c>
      <c r="I154" s="5" t="s">
        <v>306</v>
      </c>
      <c r="J154" s="3">
        <v>9</v>
      </c>
      <c r="K154" s="3">
        <v>9</v>
      </c>
      <c r="L154" s="60">
        <v>9</v>
      </c>
      <c r="M154" s="60">
        <v>9</v>
      </c>
      <c r="N154" s="60">
        <v>9</v>
      </c>
      <c r="O154" s="3">
        <v>9</v>
      </c>
      <c r="P154" s="3">
        <v>9</v>
      </c>
      <c r="Q154" s="5">
        <v>2021</v>
      </c>
    </row>
    <row r="155" spans="1:17" ht="63.75">
      <c r="A155" s="26" t="s">
        <v>259</v>
      </c>
      <c r="B155" s="29">
        <v>1</v>
      </c>
      <c r="C155" s="29">
        <v>1</v>
      </c>
      <c r="D155" s="29">
        <v>6</v>
      </c>
      <c r="E155" s="29">
        <v>0</v>
      </c>
      <c r="F155" s="29">
        <v>0</v>
      </c>
      <c r="G155" s="5"/>
      <c r="H155" s="8" t="s">
        <v>118</v>
      </c>
      <c r="I155" s="5" t="s">
        <v>265</v>
      </c>
      <c r="J155" s="4">
        <f aca="true" t="shared" si="38" ref="J155:P155">J153/J9*100</f>
        <v>0.4</v>
      </c>
      <c r="K155" s="71">
        <f t="shared" si="38"/>
        <v>0.6</v>
      </c>
      <c r="L155" s="158">
        <f>L153/L9*100</f>
        <v>0.5</v>
      </c>
      <c r="M155" s="71">
        <v>0.6</v>
      </c>
      <c r="N155" s="71">
        <v>0.6</v>
      </c>
      <c r="O155" s="4">
        <f t="shared" si="38"/>
        <v>0.3</v>
      </c>
      <c r="P155" s="4">
        <f t="shared" si="38"/>
        <v>0.5</v>
      </c>
      <c r="Q155" s="5">
        <v>2021</v>
      </c>
    </row>
    <row r="156" spans="1:17" ht="102">
      <c r="A156" s="26" t="s">
        <v>259</v>
      </c>
      <c r="B156" s="29">
        <v>1</v>
      </c>
      <c r="C156" s="29">
        <v>1</v>
      </c>
      <c r="D156" s="29">
        <v>6</v>
      </c>
      <c r="E156" s="29">
        <v>0</v>
      </c>
      <c r="F156" s="29">
        <v>0</v>
      </c>
      <c r="G156" s="5"/>
      <c r="H156" s="9" t="s">
        <v>119</v>
      </c>
      <c r="I156" s="5" t="s">
        <v>265</v>
      </c>
      <c r="J156" s="10">
        <v>0</v>
      </c>
      <c r="K156" s="10">
        <v>0</v>
      </c>
      <c r="L156" s="62">
        <v>50</v>
      </c>
      <c r="M156" s="62">
        <v>60</v>
      </c>
      <c r="N156" s="62">
        <v>70</v>
      </c>
      <c r="O156" s="62">
        <v>70</v>
      </c>
      <c r="P156" s="62">
        <v>70</v>
      </c>
      <c r="Q156" s="5">
        <v>2021</v>
      </c>
    </row>
    <row r="157" spans="1:17" ht="63.75">
      <c r="A157" s="81" t="s">
        <v>259</v>
      </c>
      <c r="B157" s="82">
        <v>1</v>
      </c>
      <c r="C157" s="82">
        <v>1</v>
      </c>
      <c r="D157" s="82">
        <v>6</v>
      </c>
      <c r="E157" s="82">
        <v>0</v>
      </c>
      <c r="F157" s="82">
        <v>1</v>
      </c>
      <c r="G157" s="83"/>
      <c r="H157" s="84" t="s">
        <v>142</v>
      </c>
      <c r="I157" s="83" t="s">
        <v>275</v>
      </c>
      <c r="J157" s="88" t="s">
        <v>276</v>
      </c>
      <c r="K157" s="88" t="s">
        <v>276</v>
      </c>
      <c r="L157" s="88" t="s">
        <v>276</v>
      </c>
      <c r="M157" s="88" t="s">
        <v>276</v>
      </c>
      <c r="N157" s="88" t="s">
        <v>276</v>
      </c>
      <c r="O157" s="88" t="s">
        <v>276</v>
      </c>
      <c r="P157" s="88" t="s">
        <v>276</v>
      </c>
      <c r="Q157" s="83">
        <v>2021</v>
      </c>
    </row>
    <row r="158" spans="1:17" ht="38.25">
      <c r="A158" s="26" t="s">
        <v>259</v>
      </c>
      <c r="B158" s="29">
        <v>1</v>
      </c>
      <c r="C158" s="29">
        <v>1</v>
      </c>
      <c r="D158" s="29">
        <v>6</v>
      </c>
      <c r="E158" s="29">
        <v>0</v>
      </c>
      <c r="F158" s="29">
        <v>1</v>
      </c>
      <c r="G158" s="5"/>
      <c r="H158" s="8" t="s">
        <v>57</v>
      </c>
      <c r="I158" s="5" t="s">
        <v>290</v>
      </c>
      <c r="J158" s="3">
        <v>29</v>
      </c>
      <c r="K158" s="3">
        <v>28</v>
      </c>
      <c r="L158" s="60">
        <v>28</v>
      </c>
      <c r="M158" s="60">
        <v>28</v>
      </c>
      <c r="N158" s="60">
        <v>28</v>
      </c>
      <c r="O158" s="3">
        <v>28</v>
      </c>
      <c r="P158" s="3">
        <v>28</v>
      </c>
      <c r="Q158" s="5">
        <v>2021</v>
      </c>
    </row>
    <row r="159" spans="1:17" ht="51">
      <c r="A159" s="26" t="s">
        <v>259</v>
      </c>
      <c r="B159" s="29">
        <v>1</v>
      </c>
      <c r="C159" s="29">
        <v>1</v>
      </c>
      <c r="D159" s="29">
        <v>6</v>
      </c>
      <c r="E159" s="29">
        <v>0</v>
      </c>
      <c r="F159" s="29">
        <v>1</v>
      </c>
      <c r="G159" s="5"/>
      <c r="H159" s="8" t="s">
        <v>307</v>
      </c>
      <c r="I159" s="5" t="s">
        <v>290</v>
      </c>
      <c r="J159" s="3">
        <v>1</v>
      </c>
      <c r="K159" s="3">
        <v>1</v>
      </c>
      <c r="L159" s="60">
        <v>2</v>
      </c>
      <c r="M159" s="60">
        <v>1</v>
      </c>
      <c r="N159" s="60">
        <v>1</v>
      </c>
      <c r="O159" s="3">
        <v>1</v>
      </c>
      <c r="P159" s="3">
        <f>SUM(J159:O159)</f>
        <v>7</v>
      </c>
      <c r="Q159" s="5">
        <v>2021</v>
      </c>
    </row>
    <row r="160" spans="1:28" s="120" customFormat="1" ht="51">
      <c r="A160" s="81" t="s">
        <v>259</v>
      </c>
      <c r="B160" s="82">
        <v>1</v>
      </c>
      <c r="C160" s="82">
        <v>1</v>
      </c>
      <c r="D160" s="82">
        <v>6</v>
      </c>
      <c r="E160" s="82">
        <v>0</v>
      </c>
      <c r="F160" s="82">
        <v>2</v>
      </c>
      <c r="G160" s="82"/>
      <c r="H160" s="122" t="s">
        <v>224</v>
      </c>
      <c r="I160" s="82" t="s">
        <v>260</v>
      </c>
      <c r="J160" s="85">
        <f aca="true" t="shared" si="39" ref="J160:O160">J161</f>
        <v>2296.3</v>
      </c>
      <c r="K160" s="85">
        <f t="shared" si="39"/>
        <v>4455.4</v>
      </c>
      <c r="L160" s="85">
        <f t="shared" si="39"/>
        <v>4464.7</v>
      </c>
      <c r="M160" s="85">
        <f t="shared" si="39"/>
        <v>4968</v>
      </c>
      <c r="N160" s="85">
        <f t="shared" si="39"/>
        <v>4968</v>
      </c>
      <c r="O160" s="85">
        <f t="shared" si="39"/>
        <v>1269.9</v>
      </c>
      <c r="P160" s="85">
        <f>SUM(P161:P161)</f>
        <v>22422.3</v>
      </c>
      <c r="Q160" s="82">
        <v>2021</v>
      </c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</row>
    <row r="161" spans="1:28" s="120" customFormat="1" ht="12.75">
      <c r="A161" s="26" t="s">
        <v>259</v>
      </c>
      <c r="B161" s="29">
        <v>1</v>
      </c>
      <c r="C161" s="29">
        <v>1</v>
      </c>
      <c r="D161" s="29">
        <v>6</v>
      </c>
      <c r="E161" s="29">
        <v>0</v>
      </c>
      <c r="F161" s="29">
        <v>2</v>
      </c>
      <c r="G161" s="29">
        <v>3</v>
      </c>
      <c r="H161" s="19" t="s">
        <v>261</v>
      </c>
      <c r="I161" s="29" t="s">
        <v>260</v>
      </c>
      <c r="J161" s="18">
        <f>1855+668-226.7</f>
        <v>2296.3</v>
      </c>
      <c r="K161" s="63">
        <v>4455.4</v>
      </c>
      <c r="L161" s="63">
        <v>4464.7</v>
      </c>
      <c r="M161" s="63">
        <v>4968</v>
      </c>
      <c r="N161" s="63">
        <v>4968</v>
      </c>
      <c r="O161" s="18">
        <v>1269.9</v>
      </c>
      <c r="P161" s="18">
        <f aca="true" t="shared" si="40" ref="P161:P168">SUM(J161:O161)</f>
        <v>22422.3</v>
      </c>
      <c r="Q161" s="29">
        <v>2021</v>
      </c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</row>
    <row r="162" spans="1:17" ht="63.75">
      <c r="A162" s="26" t="s">
        <v>259</v>
      </c>
      <c r="B162" s="29">
        <v>1</v>
      </c>
      <c r="C162" s="29">
        <v>1</v>
      </c>
      <c r="D162" s="29">
        <v>6</v>
      </c>
      <c r="E162" s="29">
        <v>0</v>
      </c>
      <c r="F162" s="29">
        <v>2</v>
      </c>
      <c r="G162" s="5"/>
      <c r="H162" s="9" t="s">
        <v>308</v>
      </c>
      <c r="I162" s="5" t="s">
        <v>279</v>
      </c>
      <c r="J162" s="3">
        <v>2700</v>
      </c>
      <c r="K162" s="60">
        <f>2750+5</f>
        <v>2755</v>
      </c>
      <c r="L162" s="60">
        <v>4310</v>
      </c>
      <c r="M162" s="60">
        <v>2900</v>
      </c>
      <c r="N162" s="60">
        <v>2950</v>
      </c>
      <c r="O162" s="3">
        <v>3000</v>
      </c>
      <c r="P162" s="3">
        <f t="shared" si="40"/>
        <v>18615</v>
      </c>
      <c r="Q162" s="5">
        <v>2021</v>
      </c>
    </row>
    <row r="163" spans="1:17" ht="25.5">
      <c r="A163" s="26" t="s">
        <v>259</v>
      </c>
      <c r="B163" s="29">
        <v>1</v>
      </c>
      <c r="C163" s="29">
        <v>1</v>
      </c>
      <c r="D163" s="29">
        <v>6</v>
      </c>
      <c r="E163" s="29">
        <v>0</v>
      </c>
      <c r="F163" s="29">
        <v>2</v>
      </c>
      <c r="G163" s="5"/>
      <c r="H163" s="9" t="s">
        <v>309</v>
      </c>
      <c r="I163" s="5" t="s">
        <v>290</v>
      </c>
      <c r="J163" s="3">
        <v>2</v>
      </c>
      <c r="K163" s="3">
        <v>2</v>
      </c>
      <c r="L163" s="60">
        <v>2</v>
      </c>
      <c r="M163" s="60">
        <v>2</v>
      </c>
      <c r="N163" s="60">
        <v>2</v>
      </c>
      <c r="O163" s="3">
        <v>2</v>
      </c>
      <c r="P163" s="3">
        <f t="shared" si="40"/>
        <v>12</v>
      </c>
      <c r="Q163" s="5">
        <v>2021</v>
      </c>
    </row>
    <row r="164" spans="1:17" ht="38.25">
      <c r="A164" s="26" t="s">
        <v>259</v>
      </c>
      <c r="B164" s="29">
        <v>1</v>
      </c>
      <c r="C164" s="29">
        <v>1</v>
      </c>
      <c r="D164" s="29">
        <v>6</v>
      </c>
      <c r="E164" s="29">
        <v>0</v>
      </c>
      <c r="F164" s="29">
        <v>2</v>
      </c>
      <c r="G164" s="5"/>
      <c r="H164" s="9" t="s">
        <v>310</v>
      </c>
      <c r="I164" s="5" t="s">
        <v>279</v>
      </c>
      <c r="J164" s="3">
        <v>120</v>
      </c>
      <c r="K164" s="3">
        <v>130</v>
      </c>
      <c r="L164" s="60">
        <v>100</v>
      </c>
      <c r="M164" s="60">
        <v>130</v>
      </c>
      <c r="N164" s="60">
        <v>130</v>
      </c>
      <c r="O164" s="3">
        <v>130</v>
      </c>
      <c r="P164" s="3">
        <f t="shared" si="40"/>
        <v>740</v>
      </c>
      <c r="Q164" s="5">
        <v>2021</v>
      </c>
    </row>
    <row r="165" spans="1:17" ht="38.25">
      <c r="A165" s="26" t="s">
        <v>259</v>
      </c>
      <c r="B165" s="29">
        <v>1</v>
      </c>
      <c r="C165" s="29">
        <v>1</v>
      </c>
      <c r="D165" s="29">
        <v>6</v>
      </c>
      <c r="E165" s="29">
        <v>0</v>
      </c>
      <c r="F165" s="29">
        <v>2</v>
      </c>
      <c r="G165" s="5"/>
      <c r="H165" s="9" t="s">
        <v>311</v>
      </c>
      <c r="I165" s="5" t="s">
        <v>279</v>
      </c>
      <c r="J165" s="3">
        <v>1055</v>
      </c>
      <c r="K165" s="3">
        <v>1060</v>
      </c>
      <c r="L165" s="60">
        <v>1060</v>
      </c>
      <c r="M165" s="60">
        <v>1065</v>
      </c>
      <c r="N165" s="60">
        <v>1070</v>
      </c>
      <c r="O165" s="3">
        <v>1075</v>
      </c>
      <c r="P165" s="3">
        <f t="shared" si="40"/>
        <v>6385</v>
      </c>
      <c r="Q165" s="5">
        <v>2021</v>
      </c>
    </row>
    <row r="166" spans="1:17" ht="76.5">
      <c r="A166" s="26" t="s">
        <v>259</v>
      </c>
      <c r="B166" s="29">
        <v>1</v>
      </c>
      <c r="C166" s="29">
        <v>1</v>
      </c>
      <c r="D166" s="29">
        <v>6</v>
      </c>
      <c r="E166" s="29">
        <v>0</v>
      </c>
      <c r="F166" s="29">
        <v>2</v>
      </c>
      <c r="G166" s="29"/>
      <c r="H166" s="9" t="s">
        <v>143</v>
      </c>
      <c r="I166" s="5" t="s">
        <v>290</v>
      </c>
      <c r="J166" s="10">
        <v>81</v>
      </c>
      <c r="K166" s="10">
        <v>180</v>
      </c>
      <c r="L166" s="65">
        <v>180</v>
      </c>
      <c r="M166" s="65">
        <v>170</v>
      </c>
      <c r="N166" s="65">
        <v>170</v>
      </c>
      <c r="O166" s="10">
        <v>90</v>
      </c>
      <c r="P166" s="3">
        <f t="shared" si="40"/>
        <v>871</v>
      </c>
      <c r="Q166" s="5">
        <v>2021</v>
      </c>
    </row>
    <row r="167" spans="1:17" ht="38.25">
      <c r="A167" s="26" t="s">
        <v>259</v>
      </c>
      <c r="B167" s="29">
        <v>1</v>
      </c>
      <c r="C167" s="29">
        <v>1</v>
      </c>
      <c r="D167" s="29">
        <v>6</v>
      </c>
      <c r="E167" s="29">
        <v>0</v>
      </c>
      <c r="F167" s="29">
        <v>2</v>
      </c>
      <c r="G167" s="29"/>
      <c r="H167" s="9" t="s">
        <v>98</v>
      </c>
      <c r="I167" s="5" t="s">
        <v>290</v>
      </c>
      <c r="J167" s="10">
        <v>125</v>
      </c>
      <c r="K167" s="10">
        <v>125</v>
      </c>
      <c r="L167" s="65">
        <v>125</v>
      </c>
      <c r="M167" s="65">
        <v>125</v>
      </c>
      <c r="N167" s="65">
        <v>125</v>
      </c>
      <c r="O167" s="10">
        <v>125</v>
      </c>
      <c r="P167" s="3">
        <f t="shared" si="40"/>
        <v>750</v>
      </c>
      <c r="Q167" s="5">
        <v>2021</v>
      </c>
    </row>
    <row r="168" spans="1:17" s="2" customFormat="1" ht="25.5">
      <c r="A168" s="26" t="s">
        <v>259</v>
      </c>
      <c r="B168" s="29">
        <v>1</v>
      </c>
      <c r="C168" s="29">
        <v>1</v>
      </c>
      <c r="D168" s="29">
        <v>6</v>
      </c>
      <c r="E168" s="29">
        <v>0</v>
      </c>
      <c r="F168" s="29">
        <v>2</v>
      </c>
      <c r="G168" s="29"/>
      <c r="H168" s="9" t="s">
        <v>27</v>
      </c>
      <c r="I168" s="5" t="s">
        <v>290</v>
      </c>
      <c r="J168" s="10">
        <v>342</v>
      </c>
      <c r="K168" s="10">
        <v>720</v>
      </c>
      <c r="L168" s="65">
        <v>720</v>
      </c>
      <c r="M168" s="65">
        <v>720</v>
      </c>
      <c r="N168" s="65">
        <v>720</v>
      </c>
      <c r="O168" s="10">
        <v>0</v>
      </c>
      <c r="P168" s="3">
        <f t="shared" si="40"/>
        <v>3222</v>
      </c>
      <c r="Q168" s="5">
        <v>2020</v>
      </c>
    </row>
    <row r="169" spans="1:28" s="120" customFormat="1" ht="51">
      <c r="A169" s="81" t="s">
        <v>259</v>
      </c>
      <c r="B169" s="82">
        <v>1</v>
      </c>
      <c r="C169" s="82">
        <v>1</v>
      </c>
      <c r="D169" s="82">
        <v>6</v>
      </c>
      <c r="E169" s="82">
        <v>0</v>
      </c>
      <c r="F169" s="82">
        <v>3</v>
      </c>
      <c r="G169" s="82"/>
      <c r="H169" s="122" t="s">
        <v>225</v>
      </c>
      <c r="I169" s="82" t="s">
        <v>260</v>
      </c>
      <c r="J169" s="85">
        <f aca="true" t="shared" si="41" ref="J169:O169">J170</f>
        <v>1242</v>
      </c>
      <c r="K169" s="85">
        <f t="shared" si="41"/>
        <v>1300</v>
      </c>
      <c r="L169" s="85">
        <f t="shared" si="41"/>
        <v>1046.8</v>
      </c>
      <c r="M169" s="85">
        <f t="shared" si="41"/>
        <v>1089.9</v>
      </c>
      <c r="N169" s="85">
        <f t="shared" si="41"/>
        <v>1089.9</v>
      </c>
      <c r="O169" s="85">
        <f t="shared" si="41"/>
        <v>1428.8</v>
      </c>
      <c r="P169" s="85">
        <f>SUM(P170:P170)</f>
        <v>7197.4</v>
      </c>
      <c r="Q169" s="82">
        <v>2021</v>
      </c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</row>
    <row r="170" spans="1:28" s="120" customFormat="1" ht="12.75">
      <c r="A170" s="26" t="s">
        <v>259</v>
      </c>
      <c r="B170" s="29">
        <v>1</v>
      </c>
      <c r="C170" s="29">
        <v>1</v>
      </c>
      <c r="D170" s="29">
        <v>6</v>
      </c>
      <c r="E170" s="29">
        <v>0</v>
      </c>
      <c r="F170" s="29">
        <v>3</v>
      </c>
      <c r="G170" s="29">
        <v>3</v>
      </c>
      <c r="H170" s="19" t="s">
        <v>261</v>
      </c>
      <c r="I170" s="29" t="s">
        <v>260</v>
      </c>
      <c r="J170" s="18">
        <f>1144+98</f>
        <v>1242</v>
      </c>
      <c r="K170" s="63">
        <v>1300</v>
      </c>
      <c r="L170" s="63">
        <v>1046.8</v>
      </c>
      <c r="M170" s="63">
        <v>1089.9</v>
      </c>
      <c r="N170" s="63">
        <v>1089.9</v>
      </c>
      <c r="O170" s="18">
        <v>1428.8</v>
      </c>
      <c r="P170" s="18">
        <f>SUM(J170:O170)</f>
        <v>7197.4</v>
      </c>
      <c r="Q170" s="29">
        <v>2021</v>
      </c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</row>
    <row r="171" spans="1:17" ht="51">
      <c r="A171" s="26" t="s">
        <v>259</v>
      </c>
      <c r="B171" s="29">
        <v>1</v>
      </c>
      <c r="C171" s="29">
        <v>1</v>
      </c>
      <c r="D171" s="29">
        <v>6</v>
      </c>
      <c r="E171" s="29">
        <v>0</v>
      </c>
      <c r="F171" s="29">
        <v>3</v>
      </c>
      <c r="G171" s="5"/>
      <c r="H171" s="9" t="s">
        <v>151</v>
      </c>
      <c r="I171" s="5" t="s">
        <v>290</v>
      </c>
      <c r="J171" s="3">
        <v>51</v>
      </c>
      <c r="K171" s="60">
        <v>51</v>
      </c>
      <c r="L171" s="60">
        <v>41</v>
      </c>
      <c r="M171" s="60">
        <v>46</v>
      </c>
      <c r="N171" s="60">
        <v>46</v>
      </c>
      <c r="O171" s="3">
        <v>55</v>
      </c>
      <c r="P171" s="3">
        <f>SUM(J171:O171)</f>
        <v>290</v>
      </c>
      <c r="Q171" s="5">
        <v>2021</v>
      </c>
    </row>
    <row r="172" spans="1:17" ht="51">
      <c r="A172" s="26" t="s">
        <v>259</v>
      </c>
      <c r="B172" s="29">
        <v>1</v>
      </c>
      <c r="C172" s="29">
        <v>1</v>
      </c>
      <c r="D172" s="29">
        <v>6</v>
      </c>
      <c r="E172" s="29">
        <v>0</v>
      </c>
      <c r="F172" s="29">
        <v>3</v>
      </c>
      <c r="G172" s="5"/>
      <c r="H172" s="9" t="s">
        <v>150</v>
      </c>
      <c r="I172" s="5" t="s">
        <v>290</v>
      </c>
      <c r="J172" s="3">
        <v>82</v>
      </c>
      <c r="K172" s="60">
        <v>82</v>
      </c>
      <c r="L172" s="60">
        <v>83</v>
      </c>
      <c r="M172" s="60">
        <v>83</v>
      </c>
      <c r="N172" s="60">
        <v>83</v>
      </c>
      <c r="O172" s="3">
        <v>96</v>
      </c>
      <c r="P172" s="3">
        <f>SUM(J172:O172)</f>
        <v>509</v>
      </c>
      <c r="Q172" s="5">
        <v>2021</v>
      </c>
    </row>
    <row r="173" spans="1:28" s="120" customFormat="1" ht="63.75">
      <c r="A173" s="81" t="s">
        <v>259</v>
      </c>
      <c r="B173" s="82">
        <v>1</v>
      </c>
      <c r="C173" s="82">
        <v>1</v>
      </c>
      <c r="D173" s="82">
        <v>6</v>
      </c>
      <c r="E173" s="82">
        <v>0</v>
      </c>
      <c r="F173" s="82">
        <v>4</v>
      </c>
      <c r="G173" s="82">
        <v>3</v>
      </c>
      <c r="H173" s="122" t="s">
        <v>226</v>
      </c>
      <c r="I173" s="82" t="s">
        <v>260</v>
      </c>
      <c r="J173" s="85">
        <f aca="true" t="shared" si="42" ref="J173:O173">J174</f>
        <v>984.7</v>
      </c>
      <c r="K173" s="85">
        <f t="shared" si="42"/>
        <v>1012.6</v>
      </c>
      <c r="L173" s="180">
        <f t="shared" si="42"/>
        <v>1015.8</v>
      </c>
      <c r="M173" s="85">
        <f t="shared" si="42"/>
        <v>700</v>
      </c>
      <c r="N173" s="85">
        <f t="shared" si="42"/>
        <v>700</v>
      </c>
      <c r="O173" s="85">
        <f t="shared" si="42"/>
        <v>768.1</v>
      </c>
      <c r="P173" s="85">
        <f>SUM(P174:P174)</f>
        <v>5181.2</v>
      </c>
      <c r="Q173" s="82">
        <v>2021</v>
      </c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</row>
    <row r="174" spans="1:28" s="120" customFormat="1" ht="12.75">
      <c r="A174" s="26" t="s">
        <v>259</v>
      </c>
      <c r="B174" s="29">
        <v>1</v>
      </c>
      <c r="C174" s="29">
        <v>1</v>
      </c>
      <c r="D174" s="29">
        <v>6</v>
      </c>
      <c r="E174" s="29">
        <v>0</v>
      </c>
      <c r="F174" s="29">
        <v>4</v>
      </c>
      <c r="G174" s="29">
        <v>3</v>
      </c>
      <c r="H174" s="19" t="s">
        <v>261</v>
      </c>
      <c r="I174" s="29" t="s">
        <v>260</v>
      </c>
      <c r="J174" s="18">
        <f>856+128.7</f>
        <v>984.7</v>
      </c>
      <c r="K174" s="63">
        <v>1012.6</v>
      </c>
      <c r="L174" s="148">
        <f>1015.9-0.1</f>
        <v>1015.8</v>
      </c>
      <c r="M174" s="63">
        <v>700</v>
      </c>
      <c r="N174" s="63">
        <v>700</v>
      </c>
      <c r="O174" s="18">
        <v>768.1</v>
      </c>
      <c r="P174" s="18">
        <f>SUM(J174:O174)</f>
        <v>5181.2</v>
      </c>
      <c r="Q174" s="29">
        <v>2021</v>
      </c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</row>
    <row r="175" spans="1:17" ht="38.25">
      <c r="A175" s="26" t="s">
        <v>259</v>
      </c>
      <c r="B175" s="29">
        <v>1</v>
      </c>
      <c r="C175" s="29">
        <v>1</v>
      </c>
      <c r="D175" s="29">
        <v>6</v>
      </c>
      <c r="E175" s="29">
        <v>0</v>
      </c>
      <c r="F175" s="29">
        <v>4</v>
      </c>
      <c r="G175" s="29"/>
      <c r="H175" s="9" t="s">
        <v>154</v>
      </c>
      <c r="I175" s="5" t="s">
        <v>290</v>
      </c>
      <c r="J175" s="3">
        <v>2</v>
      </c>
      <c r="K175" s="60">
        <f>2+1</f>
        <v>3</v>
      </c>
      <c r="L175" s="60">
        <v>2</v>
      </c>
      <c r="M175" s="60">
        <v>3</v>
      </c>
      <c r="N175" s="60">
        <v>2</v>
      </c>
      <c r="O175" s="3">
        <v>2</v>
      </c>
      <c r="P175" s="3">
        <v>3</v>
      </c>
      <c r="Q175" s="5">
        <v>2021</v>
      </c>
    </row>
    <row r="176" spans="1:17" ht="38.25">
      <c r="A176" s="26" t="s">
        <v>259</v>
      </c>
      <c r="B176" s="29">
        <v>1</v>
      </c>
      <c r="C176" s="29">
        <v>1</v>
      </c>
      <c r="D176" s="29">
        <v>6</v>
      </c>
      <c r="E176" s="29">
        <v>0</v>
      </c>
      <c r="F176" s="29">
        <v>4</v>
      </c>
      <c r="G176" s="29"/>
      <c r="H176" s="9" t="s">
        <v>155</v>
      </c>
      <c r="I176" s="5" t="s">
        <v>290</v>
      </c>
      <c r="J176" s="3">
        <v>3</v>
      </c>
      <c r="K176" s="3">
        <v>3</v>
      </c>
      <c r="L176" s="60">
        <v>2</v>
      </c>
      <c r="M176" s="60">
        <v>3</v>
      </c>
      <c r="N176" s="60">
        <v>3</v>
      </c>
      <c r="O176" s="3">
        <v>3</v>
      </c>
      <c r="P176" s="3">
        <v>3</v>
      </c>
      <c r="Q176" s="5">
        <v>2021</v>
      </c>
    </row>
    <row r="177" spans="1:28" s="120" customFormat="1" ht="25.5">
      <c r="A177" s="75" t="s">
        <v>259</v>
      </c>
      <c r="B177" s="76">
        <v>1</v>
      </c>
      <c r="C177" s="76">
        <v>1</v>
      </c>
      <c r="D177" s="76">
        <v>7</v>
      </c>
      <c r="E177" s="76">
        <v>0</v>
      </c>
      <c r="F177" s="76">
        <v>0</v>
      </c>
      <c r="G177" s="76"/>
      <c r="H177" s="77" t="s">
        <v>312</v>
      </c>
      <c r="I177" s="76" t="s">
        <v>260</v>
      </c>
      <c r="J177" s="78">
        <f aca="true" t="shared" si="43" ref="J177:O177">J179+J178</f>
        <v>690.3</v>
      </c>
      <c r="K177" s="78">
        <f t="shared" si="43"/>
        <v>921.3</v>
      </c>
      <c r="L177" s="78">
        <f>L179+L178</f>
        <v>699.3</v>
      </c>
      <c r="M177" s="78">
        <f>M179+M178</f>
        <v>670</v>
      </c>
      <c r="N177" s="78">
        <f>N179+N178</f>
        <v>670</v>
      </c>
      <c r="O177" s="78">
        <f t="shared" si="43"/>
        <v>736.2</v>
      </c>
      <c r="P177" s="78">
        <f>J177+K177+L177+M177+N177+O177</f>
        <v>4387.1</v>
      </c>
      <c r="Q177" s="76">
        <v>2021</v>
      </c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</row>
    <row r="178" spans="1:28" s="120" customFormat="1" ht="12.75">
      <c r="A178" s="26" t="s">
        <v>259</v>
      </c>
      <c r="B178" s="29">
        <v>1</v>
      </c>
      <c r="C178" s="29">
        <v>1</v>
      </c>
      <c r="D178" s="29">
        <v>7</v>
      </c>
      <c r="E178" s="29">
        <v>0</v>
      </c>
      <c r="F178" s="29">
        <v>0</v>
      </c>
      <c r="G178" s="29">
        <v>3</v>
      </c>
      <c r="H178" s="19" t="s">
        <v>261</v>
      </c>
      <c r="I178" s="29" t="s">
        <v>260</v>
      </c>
      <c r="J178" s="18">
        <f aca="true" t="shared" si="44" ref="J178:O179">J186</f>
        <v>690.3</v>
      </c>
      <c r="K178" s="18">
        <f t="shared" si="44"/>
        <v>595.5</v>
      </c>
      <c r="L178" s="63">
        <f aca="true" t="shared" si="45" ref="L178:N179">L186</f>
        <v>699.3</v>
      </c>
      <c r="M178" s="98">
        <f t="shared" si="45"/>
        <v>670</v>
      </c>
      <c r="N178" s="98">
        <f t="shared" si="45"/>
        <v>670</v>
      </c>
      <c r="O178" s="18">
        <f t="shared" si="44"/>
        <v>736.2</v>
      </c>
      <c r="P178" s="63">
        <f>J178+K178+L178+M178+N178+O178</f>
        <v>4061.3</v>
      </c>
      <c r="Q178" s="29">
        <v>2021</v>
      </c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</row>
    <row r="179" spans="1:28" s="120" customFormat="1" ht="12.75">
      <c r="A179" s="26" t="s">
        <v>259</v>
      </c>
      <c r="B179" s="29">
        <v>1</v>
      </c>
      <c r="C179" s="29">
        <v>1</v>
      </c>
      <c r="D179" s="29">
        <v>7</v>
      </c>
      <c r="E179" s="29">
        <v>0</v>
      </c>
      <c r="F179" s="29">
        <v>0</v>
      </c>
      <c r="G179" s="29">
        <v>2</v>
      </c>
      <c r="H179" s="19" t="s">
        <v>262</v>
      </c>
      <c r="I179" s="29" t="s">
        <v>260</v>
      </c>
      <c r="J179" s="18">
        <f t="shared" si="44"/>
        <v>0</v>
      </c>
      <c r="K179" s="18">
        <f t="shared" si="44"/>
        <v>325.8</v>
      </c>
      <c r="L179" s="63">
        <f t="shared" si="45"/>
        <v>0</v>
      </c>
      <c r="M179" s="98">
        <f t="shared" si="45"/>
        <v>0</v>
      </c>
      <c r="N179" s="98">
        <f t="shared" si="45"/>
        <v>0</v>
      </c>
      <c r="O179" s="18">
        <f t="shared" si="44"/>
        <v>0</v>
      </c>
      <c r="P179" s="63">
        <f>J179+K179+L179+M179+N179+O179</f>
        <v>325.8</v>
      </c>
      <c r="Q179" s="29">
        <v>2017</v>
      </c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</row>
    <row r="180" spans="1:17" ht="38.25">
      <c r="A180" s="26" t="s">
        <v>259</v>
      </c>
      <c r="B180" s="29">
        <v>1</v>
      </c>
      <c r="C180" s="29">
        <v>1</v>
      </c>
      <c r="D180" s="29">
        <v>7</v>
      </c>
      <c r="E180" s="29">
        <v>0</v>
      </c>
      <c r="F180" s="29">
        <v>0</v>
      </c>
      <c r="G180" s="5"/>
      <c r="H180" s="8" t="s">
        <v>313</v>
      </c>
      <c r="I180" s="5" t="s">
        <v>279</v>
      </c>
      <c r="J180" s="3">
        <v>1942</v>
      </c>
      <c r="K180" s="60">
        <v>2195</v>
      </c>
      <c r="L180" s="60">
        <v>2502</v>
      </c>
      <c r="M180" s="60">
        <v>1942</v>
      </c>
      <c r="N180" s="60">
        <v>1942</v>
      </c>
      <c r="O180" s="3">
        <v>1942</v>
      </c>
      <c r="P180" s="3">
        <f>SUM(J180:O180)</f>
        <v>12465</v>
      </c>
      <c r="Q180" s="5">
        <v>2021</v>
      </c>
    </row>
    <row r="181" spans="1:17" ht="38.25" customHeight="1">
      <c r="A181" s="26" t="s">
        <v>259</v>
      </c>
      <c r="B181" s="29">
        <v>1</v>
      </c>
      <c r="C181" s="29">
        <v>1</v>
      </c>
      <c r="D181" s="29">
        <v>7</v>
      </c>
      <c r="E181" s="29">
        <v>0</v>
      </c>
      <c r="F181" s="29">
        <v>0</v>
      </c>
      <c r="G181" s="5"/>
      <c r="H181" s="8" t="s">
        <v>56</v>
      </c>
      <c r="I181" s="5" t="s">
        <v>265</v>
      </c>
      <c r="J181" s="7">
        <v>100</v>
      </c>
      <c r="K181" s="62">
        <v>100</v>
      </c>
      <c r="L181" s="62">
        <v>100</v>
      </c>
      <c r="M181" s="62">
        <v>100</v>
      </c>
      <c r="N181" s="62">
        <v>100</v>
      </c>
      <c r="O181" s="7">
        <v>100</v>
      </c>
      <c r="P181" s="7">
        <v>100</v>
      </c>
      <c r="Q181" s="5">
        <v>2021</v>
      </c>
    </row>
    <row r="182" spans="1:17" ht="38.25" customHeight="1">
      <c r="A182" s="81" t="s">
        <v>259</v>
      </c>
      <c r="B182" s="82">
        <v>1</v>
      </c>
      <c r="C182" s="82">
        <v>1</v>
      </c>
      <c r="D182" s="82">
        <v>7</v>
      </c>
      <c r="E182" s="82">
        <v>0</v>
      </c>
      <c r="F182" s="82">
        <v>1</v>
      </c>
      <c r="G182" s="83"/>
      <c r="H182" s="90" t="s">
        <v>227</v>
      </c>
      <c r="I182" s="83" t="s">
        <v>275</v>
      </c>
      <c r="J182" s="88" t="s">
        <v>276</v>
      </c>
      <c r="K182" s="88" t="s">
        <v>276</v>
      </c>
      <c r="L182" s="88" t="s">
        <v>276</v>
      </c>
      <c r="M182" s="88" t="s">
        <v>276</v>
      </c>
      <c r="N182" s="88" t="s">
        <v>276</v>
      </c>
      <c r="O182" s="88" t="s">
        <v>276</v>
      </c>
      <c r="P182" s="88" t="s">
        <v>276</v>
      </c>
      <c r="Q182" s="83">
        <v>2021</v>
      </c>
    </row>
    <row r="183" spans="1:17" ht="38.25">
      <c r="A183" s="26" t="s">
        <v>259</v>
      </c>
      <c r="B183" s="29">
        <v>1</v>
      </c>
      <c r="C183" s="29">
        <v>1</v>
      </c>
      <c r="D183" s="29">
        <v>7</v>
      </c>
      <c r="E183" s="29">
        <v>0</v>
      </c>
      <c r="F183" s="29">
        <v>1</v>
      </c>
      <c r="G183" s="5"/>
      <c r="H183" s="9" t="s">
        <v>314</v>
      </c>
      <c r="I183" s="5" t="s">
        <v>290</v>
      </c>
      <c r="J183" s="3">
        <v>43</v>
      </c>
      <c r="K183" s="3">
        <v>44</v>
      </c>
      <c r="L183" s="60">
        <v>44</v>
      </c>
      <c r="M183" s="60">
        <v>46</v>
      </c>
      <c r="N183" s="60">
        <v>47</v>
      </c>
      <c r="O183" s="3">
        <v>47</v>
      </c>
      <c r="P183" s="3">
        <f>SUM(J183:O183)</f>
        <v>271</v>
      </c>
      <c r="Q183" s="5">
        <v>2021</v>
      </c>
    </row>
    <row r="184" spans="1:17" ht="51">
      <c r="A184" s="26" t="s">
        <v>259</v>
      </c>
      <c r="B184" s="29">
        <v>1</v>
      </c>
      <c r="C184" s="29">
        <v>1</v>
      </c>
      <c r="D184" s="29">
        <v>7</v>
      </c>
      <c r="E184" s="29">
        <v>0</v>
      </c>
      <c r="F184" s="29">
        <v>1</v>
      </c>
      <c r="G184" s="5"/>
      <c r="H184" s="9" t="s">
        <v>55</v>
      </c>
      <c r="I184" s="5" t="s">
        <v>290</v>
      </c>
      <c r="J184" s="3">
        <v>29</v>
      </c>
      <c r="K184" s="3">
        <v>28</v>
      </c>
      <c r="L184" s="60">
        <v>28</v>
      </c>
      <c r="M184" s="60">
        <v>28</v>
      </c>
      <c r="N184" s="60">
        <v>28</v>
      </c>
      <c r="O184" s="3">
        <v>28</v>
      </c>
      <c r="P184" s="3">
        <v>28</v>
      </c>
      <c r="Q184" s="5">
        <v>2021</v>
      </c>
    </row>
    <row r="185" spans="1:28" s="120" customFormat="1" ht="63.75">
      <c r="A185" s="81" t="s">
        <v>259</v>
      </c>
      <c r="B185" s="82">
        <v>1</v>
      </c>
      <c r="C185" s="82">
        <v>1</v>
      </c>
      <c r="D185" s="82">
        <v>7</v>
      </c>
      <c r="E185" s="82">
        <v>0</v>
      </c>
      <c r="F185" s="82">
        <v>2</v>
      </c>
      <c r="G185" s="82"/>
      <c r="H185" s="86" t="s">
        <v>228</v>
      </c>
      <c r="I185" s="82" t="s">
        <v>260</v>
      </c>
      <c r="J185" s="85">
        <f aca="true" t="shared" si="46" ref="J185:O185">J186+J187</f>
        <v>690.3</v>
      </c>
      <c r="K185" s="85">
        <f t="shared" si="46"/>
        <v>921.3</v>
      </c>
      <c r="L185" s="85">
        <f>L186+L187</f>
        <v>699.3</v>
      </c>
      <c r="M185" s="85">
        <f>M186+M187</f>
        <v>670</v>
      </c>
      <c r="N185" s="85">
        <f>N186+N187</f>
        <v>670</v>
      </c>
      <c r="O185" s="85">
        <f t="shared" si="46"/>
        <v>736.2</v>
      </c>
      <c r="P185" s="85">
        <f>SUM(J185:O185)</f>
        <v>4387.1</v>
      </c>
      <c r="Q185" s="82">
        <v>2021</v>
      </c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</row>
    <row r="186" spans="1:28" s="120" customFormat="1" ht="12.75">
      <c r="A186" s="26" t="s">
        <v>259</v>
      </c>
      <c r="B186" s="29">
        <v>1</v>
      </c>
      <c r="C186" s="29">
        <v>1</v>
      </c>
      <c r="D186" s="29">
        <v>7</v>
      </c>
      <c r="E186" s="29">
        <v>0</v>
      </c>
      <c r="F186" s="29">
        <v>2</v>
      </c>
      <c r="G186" s="29">
        <v>3</v>
      </c>
      <c r="H186" s="19" t="s">
        <v>261</v>
      </c>
      <c r="I186" s="29" t="s">
        <v>260</v>
      </c>
      <c r="J186" s="18">
        <f>670+20.3</f>
        <v>690.3</v>
      </c>
      <c r="K186" s="63">
        <v>595.5</v>
      </c>
      <c r="L186" s="63">
        <v>699.3</v>
      </c>
      <c r="M186" s="63">
        <v>670</v>
      </c>
      <c r="N186" s="63">
        <v>670</v>
      </c>
      <c r="O186" s="18">
        <v>736.2</v>
      </c>
      <c r="P186" s="63">
        <f>SUM(J186:O186)</f>
        <v>4061.3</v>
      </c>
      <c r="Q186" s="29">
        <v>2021</v>
      </c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</row>
    <row r="187" spans="1:28" s="120" customFormat="1" ht="12.75">
      <c r="A187" s="26" t="s">
        <v>259</v>
      </c>
      <c r="B187" s="29">
        <v>1</v>
      </c>
      <c r="C187" s="29">
        <v>1</v>
      </c>
      <c r="D187" s="29">
        <v>7</v>
      </c>
      <c r="E187" s="29">
        <v>0</v>
      </c>
      <c r="F187" s="29">
        <v>2</v>
      </c>
      <c r="G187" s="29">
        <v>2</v>
      </c>
      <c r="H187" s="19" t="s">
        <v>262</v>
      </c>
      <c r="I187" s="29" t="s">
        <v>260</v>
      </c>
      <c r="J187" s="18">
        <v>0</v>
      </c>
      <c r="K187" s="63">
        <v>325.8</v>
      </c>
      <c r="L187" s="63">
        <v>0</v>
      </c>
      <c r="M187" s="63">
        <v>0</v>
      </c>
      <c r="N187" s="63">
        <v>0</v>
      </c>
      <c r="O187" s="18">
        <v>0</v>
      </c>
      <c r="P187" s="63">
        <f>SUM(J187:O187)</f>
        <v>325.8</v>
      </c>
      <c r="Q187" s="29">
        <v>2017</v>
      </c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</row>
    <row r="188" spans="1:17" ht="38.25">
      <c r="A188" s="26" t="s">
        <v>259</v>
      </c>
      <c r="B188" s="29">
        <v>1</v>
      </c>
      <c r="C188" s="29">
        <v>1</v>
      </c>
      <c r="D188" s="29">
        <v>7</v>
      </c>
      <c r="E188" s="29">
        <v>0</v>
      </c>
      <c r="F188" s="29">
        <v>2</v>
      </c>
      <c r="G188" s="5"/>
      <c r="H188" s="8" t="s">
        <v>54</v>
      </c>
      <c r="I188" s="5" t="s">
        <v>290</v>
      </c>
      <c r="J188" s="3">
        <v>40</v>
      </c>
      <c r="K188" s="60">
        <v>39</v>
      </c>
      <c r="L188" s="60">
        <v>34</v>
      </c>
      <c r="M188" s="60">
        <v>38</v>
      </c>
      <c r="N188" s="60">
        <v>38</v>
      </c>
      <c r="O188" s="3">
        <v>39</v>
      </c>
      <c r="P188" s="3">
        <f>SUM(J188:O188)/6</f>
        <v>38</v>
      </c>
      <c r="Q188" s="5">
        <v>2021</v>
      </c>
    </row>
    <row r="189" spans="1:17" ht="38.25">
      <c r="A189" s="26" t="s">
        <v>259</v>
      </c>
      <c r="B189" s="29">
        <v>1</v>
      </c>
      <c r="C189" s="29">
        <v>1</v>
      </c>
      <c r="D189" s="29">
        <v>7</v>
      </c>
      <c r="E189" s="29">
        <v>0</v>
      </c>
      <c r="F189" s="29">
        <v>2</v>
      </c>
      <c r="G189" s="5"/>
      <c r="H189" s="8" t="s">
        <v>315</v>
      </c>
      <c r="I189" s="5" t="s">
        <v>279</v>
      </c>
      <c r="J189" s="3">
        <v>190</v>
      </c>
      <c r="K189" s="60">
        <v>195</v>
      </c>
      <c r="L189" s="143">
        <v>252</v>
      </c>
      <c r="M189" s="60">
        <v>202</v>
      </c>
      <c r="N189" s="60">
        <v>205</v>
      </c>
      <c r="O189" s="3">
        <v>207</v>
      </c>
      <c r="P189" s="3">
        <f>SUM(J189:O189)</f>
        <v>1251</v>
      </c>
      <c r="Q189" s="5">
        <v>2021</v>
      </c>
    </row>
    <row r="190" spans="1:17" ht="25.5">
      <c r="A190" s="26" t="s">
        <v>259</v>
      </c>
      <c r="B190" s="29">
        <v>1</v>
      </c>
      <c r="C190" s="29">
        <v>1</v>
      </c>
      <c r="D190" s="29">
        <v>7</v>
      </c>
      <c r="E190" s="29">
        <v>0</v>
      </c>
      <c r="F190" s="29">
        <v>2</v>
      </c>
      <c r="G190" s="5"/>
      <c r="H190" s="9" t="s">
        <v>316</v>
      </c>
      <c r="I190" s="5" t="s">
        <v>279</v>
      </c>
      <c r="J190" s="3">
        <v>70</v>
      </c>
      <c r="K190" s="60">
        <v>75</v>
      </c>
      <c r="L190" s="60">
        <v>180</v>
      </c>
      <c r="M190" s="60">
        <v>80</v>
      </c>
      <c r="N190" s="60">
        <v>82</v>
      </c>
      <c r="O190" s="3">
        <v>86</v>
      </c>
      <c r="P190" s="3">
        <f>SUM(J190:O190)</f>
        <v>573</v>
      </c>
      <c r="Q190" s="5">
        <v>2021</v>
      </c>
    </row>
    <row r="191" spans="1:17" ht="38.25">
      <c r="A191" s="26" t="s">
        <v>259</v>
      </c>
      <c r="B191" s="29">
        <v>1</v>
      </c>
      <c r="C191" s="29">
        <v>1</v>
      </c>
      <c r="D191" s="29">
        <v>7</v>
      </c>
      <c r="E191" s="29">
        <v>0</v>
      </c>
      <c r="F191" s="29">
        <v>2</v>
      </c>
      <c r="G191" s="5"/>
      <c r="H191" s="9" t="s">
        <v>120</v>
      </c>
      <c r="I191" s="5" t="s">
        <v>279</v>
      </c>
      <c r="J191" s="3">
        <v>74</v>
      </c>
      <c r="K191" s="60">
        <f>K190</f>
        <v>75</v>
      </c>
      <c r="L191" s="60">
        <v>42</v>
      </c>
      <c r="M191" s="60">
        <v>80</v>
      </c>
      <c r="N191" s="60">
        <v>82</v>
      </c>
      <c r="O191" s="3">
        <f>O190</f>
        <v>86</v>
      </c>
      <c r="P191" s="3">
        <f>SUM(J191:O191)</f>
        <v>439</v>
      </c>
      <c r="Q191" s="5">
        <v>2021</v>
      </c>
    </row>
    <row r="192" spans="1:28" s="120" customFormat="1" ht="25.5">
      <c r="A192" s="75" t="s">
        <v>259</v>
      </c>
      <c r="B192" s="76">
        <v>1</v>
      </c>
      <c r="C192" s="76">
        <v>1</v>
      </c>
      <c r="D192" s="76">
        <v>8</v>
      </c>
      <c r="E192" s="76">
        <v>0</v>
      </c>
      <c r="F192" s="76">
        <v>0</v>
      </c>
      <c r="G192" s="76"/>
      <c r="H192" s="77" t="s">
        <v>317</v>
      </c>
      <c r="I192" s="76" t="s">
        <v>260</v>
      </c>
      <c r="J192" s="78">
        <f aca="true" t="shared" si="47" ref="J192:O192">J193+J194</f>
        <v>26686.6</v>
      </c>
      <c r="K192" s="78">
        <f t="shared" si="47"/>
        <v>5942.1</v>
      </c>
      <c r="L192" s="78">
        <f>L193+L194</f>
        <v>8544.7</v>
      </c>
      <c r="M192" s="78">
        <f>M193+M194</f>
        <v>8791.3</v>
      </c>
      <c r="N192" s="78">
        <f>N193+N194</f>
        <v>8791.3</v>
      </c>
      <c r="O192" s="78">
        <f t="shared" si="47"/>
        <v>42494</v>
      </c>
      <c r="P192" s="78">
        <f>J192+K192+L192+M192+N192+O192</f>
        <v>101250</v>
      </c>
      <c r="Q192" s="76">
        <v>2021</v>
      </c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</row>
    <row r="193" spans="1:28" s="120" customFormat="1" ht="12.75">
      <c r="A193" s="26" t="s">
        <v>259</v>
      </c>
      <c r="B193" s="29">
        <v>1</v>
      </c>
      <c r="C193" s="29">
        <v>1</v>
      </c>
      <c r="D193" s="29">
        <v>8</v>
      </c>
      <c r="E193" s="29">
        <v>0</v>
      </c>
      <c r="F193" s="29">
        <v>0</v>
      </c>
      <c r="G193" s="29">
        <v>3</v>
      </c>
      <c r="H193" s="19" t="s">
        <v>261</v>
      </c>
      <c r="I193" s="29" t="s">
        <v>260</v>
      </c>
      <c r="J193" s="18">
        <f aca="true" t="shared" si="48" ref="J193:O194">J201</f>
        <v>9925.6</v>
      </c>
      <c r="K193" s="18">
        <f t="shared" si="48"/>
        <v>4123</v>
      </c>
      <c r="L193" s="63">
        <f t="shared" si="48"/>
        <v>6350</v>
      </c>
      <c r="M193" s="98">
        <f>M201</f>
        <v>6350</v>
      </c>
      <c r="N193" s="98">
        <f>N201</f>
        <v>6350</v>
      </c>
      <c r="O193" s="18">
        <f t="shared" si="48"/>
        <v>6979.2</v>
      </c>
      <c r="P193" s="63">
        <f>J193+K193+L193+M193+N193+O193</f>
        <v>40077.8</v>
      </c>
      <c r="Q193" s="29">
        <v>2021</v>
      </c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</row>
    <row r="194" spans="1:28" s="120" customFormat="1" ht="12.75">
      <c r="A194" s="26" t="s">
        <v>259</v>
      </c>
      <c r="B194" s="29">
        <v>1</v>
      </c>
      <c r="C194" s="29">
        <v>1</v>
      </c>
      <c r="D194" s="29">
        <v>8</v>
      </c>
      <c r="E194" s="29">
        <v>0</v>
      </c>
      <c r="F194" s="29">
        <v>0</v>
      </c>
      <c r="G194" s="29">
        <v>2</v>
      </c>
      <c r="H194" s="19" t="s">
        <v>262</v>
      </c>
      <c r="I194" s="29" t="s">
        <v>260</v>
      </c>
      <c r="J194" s="18">
        <f t="shared" si="48"/>
        <v>16761</v>
      </c>
      <c r="K194" s="18">
        <f t="shared" si="48"/>
        <v>1819.1</v>
      </c>
      <c r="L194" s="63">
        <f t="shared" si="48"/>
        <v>2194.7</v>
      </c>
      <c r="M194" s="98">
        <f>M202</f>
        <v>2441.3</v>
      </c>
      <c r="N194" s="98">
        <f>N202</f>
        <v>2441.3</v>
      </c>
      <c r="O194" s="18">
        <f t="shared" si="48"/>
        <v>35514.8</v>
      </c>
      <c r="P194" s="63">
        <f>J194+K194+L194+M194+N194+O194</f>
        <v>61172.2</v>
      </c>
      <c r="Q194" s="29">
        <v>2021</v>
      </c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</row>
    <row r="195" spans="1:17" ht="51">
      <c r="A195" s="26" t="s">
        <v>259</v>
      </c>
      <c r="B195" s="29">
        <v>1</v>
      </c>
      <c r="C195" s="29">
        <v>1</v>
      </c>
      <c r="D195" s="29">
        <v>8</v>
      </c>
      <c r="E195" s="29">
        <v>0</v>
      </c>
      <c r="F195" s="29">
        <v>0</v>
      </c>
      <c r="G195" s="5"/>
      <c r="H195" s="8" t="s">
        <v>318</v>
      </c>
      <c r="I195" s="5" t="s">
        <v>290</v>
      </c>
      <c r="J195" s="3">
        <v>6</v>
      </c>
      <c r="K195" s="60">
        <v>7</v>
      </c>
      <c r="L195" s="60">
        <v>7</v>
      </c>
      <c r="M195" s="60">
        <v>7</v>
      </c>
      <c r="N195" s="60">
        <v>7</v>
      </c>
      <c r="O195" s="3">
        <v>7</v>
      </c>
      <c r="P195" s="3">
        <v>7</v>
      </c>
      <c r="Q195" s="5">
        <v>2021</v>
      </c>
    </row>
    <row r="196" spans="1:17" ht="38.25">
      <c r="A196" s="26" t="s">
        <v>259</v>
      </c>
      <c r="B196" s="29">
        <v>1</v>
      </c>
      <c r="C196" s="29">
        <v>1</v>
      </c>
      <c r="D196" s="29">
        <v>8</v>
      </c>
      <c r="E196" s="29">
        <v>0</v>
      </c>
      <c r="F196" s="29">
        <v>0</v>
      </c>
      <c r="G196" s="5"/>
      <c r="H196" s="8" t="s">
        <v>70</v>
      </c>
      <c r="I196" s="5" t="s">
        <v>265</v>
      </c>
      <c r="J196" s="7">
        <v>18</v>
      </c>
      <c r="K196" s="62">
        <f>2996/19077*100</f>
        <v>15.7</v>
      </c>
      <c r="L196" s="62">
        <f>3281/19805*100</f>
        <v>16.6</v>
      </c>
      <c r="M196" s="62">
        <v>18.8</v>
      </c>
      <c r="N196" s="62">
        <v>18.9</v>
      </c>
      <c r="O196" s="62">
        <v>19</v>
      </c>
      <c r="P196" s="7">
        <f>SUM(J196:O196)/6</f>
        <v>17.8</v>
      </c>
      <c r="Q196" s="5">
        <v>2021</v>
      </c>
    </row>
    <row r="197" spans="1:17" ht="51" customHeight="1">
      <c r="A197" s="26" t="s">
        <v>259</v>
      </c>
      <c r="B197" s="29">
        <v>1</v>
      </c>
      <c r="C197" s="29">
        <v>1</v>
      </c>
      <c r="D197" s="29">
        <v>8</v>
      </c>
      <c r="E197" s="29">
        <v>0</v>
      </c>
      <c r="F197" s="29">
        <v>0</v>
      </c>
      <c r="G197" s="5"/>
      <c r="H197" s="8" t="s">
        <v>121</v>
      </c>
      <c r="I197" s="5" t="s">
        <v>265</v>
      </c>
      <c r="J197" s="4">
        <v>1.1</v>
      </c>
      <c r="K197" s="71">
        <f>K193/K9*100</f>
        <v>0.3</v>
      </c>
      <c r="L197" s="71">
        <f>L193/L9*100</f>
        <v>0.5</v>
      </c>
      <c r="M197" s="71">
        <v>0.6</v>
      </c>
      <c r="N197" s="71">
        <v>0.5</v>
      </c>
      <c r="O197" s="4">
        <f>O193/O9*100</f>
        <v>0.5</v>
      </c>
      <c r="P197" s="7">
        <f>SUM(J197:O197)/6</f>
        <v>0.6</v>
      </c>
      <c r="Q197" s="5">
        <v>2021</v>
      </c>
    </row>
    <row r="198" spans="1:17" ht="51">
      <c r="A198" s="81" t="s">
        <v>259</v>
      </c>
      <c r="B198" s="82">
        <v>1</v>
      </c>
      <c r="C198" s="82">
        <v>1</v>
      </c>
      <c r="D198" s="82">
        <v>8</v>
      </c>
      <c r="E198" s="82">
        <v>0</v>
      </c>
      <c r="F198" s="82">
        <v>1</v>
      </c>
      <c r="G198" s="83"/>
      <c r="H198" s="84" t="s">
        <v>80</v>
      </c>
      <c r="I198" s="83" t="s">
        <v>275</v>
      </c>
      <c r="J198" s="88" t="s">
        <v>276</v>
      </c>
      <c r="K198" s="88" t="s">
        <v>276</v>
      </c>
      <c r="L198" s="88" t="s">
        <v>276</v>
      </c>
      <c r="M198" s="88" t="s">
        <v>276</v>
      </c>
      <c r="N198" s="88" t="s">
        <v>276</v>
      </c>
      <c r="O198" s="88" t="s">
        <v>276</v>
      </c>
      <c r="P198" s="88" t="s">
        <v>276</v>
      </c>
      <c r="Q198" s="83">
        <v>2021</v>
      </c>
    </row>
    <row r="199" spans="1:17" ht="51">
      <c r="A199" s="26" t="s">
        <v>259</v>
      </c>
      <c r="B199" s="29">
        <v>1</v>
      </c>
      <c r="C199" s="29">
        <v>1</v>
      </c>
      <c r="D199" s="29">
        <v>8</v>
      </c>
      <c r="E199" s="29">
        <v>0</v>
      </c>
      <c r="F199" s="29">
        <v>1</v>
      </c>
      <c r="G199" s="5"/>
      <c r="H199" s="8" t="s">
        <v>162</v>
      </c>
      <c r="I199" s="5" t="s">
        <v>290</v>
      </c>
      <c r="J199" s="3">
        <v>2</v>
      </c>
      <c r="K199" s="3">
        <v>2</v>
      </c>
      <c r="L199" s="60">
        <v>2</v>
      </c>
      <c r="M199" s="60">
        <v>2</v>
      </c>
      <c r="N199" s="60">
        <v>2</v>
      </c>
      <c r="O199" s="3">
        <v>2</v>
      </c>
      <c r="P199" s="3">
        <f>SUM(J199:O199)</f>
        <v>12</v>
      </c>
      <c r="Q199" s="5">
        <v>2021</v>
      </c>
    </row>
    <row r="200" spans="1:28" s="120" customFormat="1" ht="51">
      <c r="A200" s="81" t="s">
        <v>259</v>
      </c>
      <c r="B200" s="82">
        <v>1</v>
      </c>
      <c r="C200" s="82">
        <v>1</v>
      </c>
      <c r="D200" s="82">
        <v>8</v>
      </c>
      <c r="E200" s="82">
        <v>0</v>
      </c>
      <c r="F200" s="82">
        <v>2</v>
      </c>
      <c r="G200" s="82"/>
      <c r="H200" s="86" t="s">
        <v>229</v>
      </c>
      <c r="I200" s="82" t="s">
        <v>260</v>
      </c>
      <c r="J200" s="85">
        <f aca="true" t="shared" si="49" ref="J200:O200">J201+J202</f>
        <v>26686.6</v>
      </c>
      <c r="K200" s="85">
        <f t="shared" si="49"/>
        <v>5942.1</v>
      </c>
      <c r="L200" s="85">
        <f>L201+L202</f>
        <v>8544.7</v>
      </c>
      <c r="M200" s="85">
        <f>M201+M202</f>
        <v>8791.3</v>
      </c>
      <c r="N200" s="85">
        <f>N201+N202</f>
        <v>8791.3</v>
      </c>
      <c r="O200" s="85">
        <f t="shared" si="49"/>
        <v>42494</v>
      </c>
      <c r="P200" s="85">
        <f>SUM(J200:O200)</f>
        <v>101250</v>
      </c>
      <c r="Q200" s="82">
        <v>2021</v>
      </c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</row>
    <row r="201" spans="1:28" s="120" customFormat="1" ht="12.75">
      <c r="A201" s="26" t="s">
        <v>259</v>
      </c>
      <c r="B201" s="29">
        <v>1</v>
      </c>
      <c r="C201" s="29">
        <v>1</v>
      </c>
      <c r="D201" s="29">
        <v>8</v>
      </c>
      <c r="E201" s="29">
        <v>0</v>
      </c>
      <c r="F201" s="29">
        <v>2</v>
      </c>
      <c r="G201" s="29">
        <v>3</v>
      </c>
      <c r="H201" s="19" t="s">
        <v>261</v>
      </c>
      <c r="I201" s="29" t="s">
        <v>260</v>
      </c>
      <c r="J201" s="18">
        <f>9850+2275.6-2200</f>
        <v>9925.6</v>
      </c>
      <c r="K201" s="63">
        <v>4123</v>
      </c>
      <c r="L201" s="63">
        <v>6350</v>
      </c>
      <c r="M201" s="63">
        <v>6350</v>
      </c>
      <c r="N201" s="63">
        <v>6350</v>
      </c>
      <c r="O201" s="18">
        <v>6979.2</v>
      </c>
      <c r="P201" s="18">
        <f>SUM(J201:O201)</f>
        <v>40077.8</v>
      </c>
      <c r="Q201" s="29">
        <v>2021</v>
      </c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</row>
    <row r="202" spans="1:28" s="120" customFormat="1" ht="12.75">
      <c r="A202" s="26" t="s">
        <v>259</v>
      </c>
      <c r="B202" s="29">
        <v>1</v>
      </c>
      <c r="C202" s="29">
        <v>1</v>
      </c>
      <c r="D202" s="29">
        <v>8</v>
      </c>
      <c r="E202" s="29">
        <v>0</v>
      </c>
      <c r="F202" s="29">
        <v>2</v>
      </c>
      <c r="G202" s="29">
        <v>2</v>
      </c>
      <c r="H202" s="19" t="s">
        <v>262</v>
      </c>
      <c r="I202" s="29" t="s">
        <v>260</v>
      </c>
      <c r="J202" s="18">
        <f>28761-12000</f>
        <v>16761</v>
      </c>
      <c r="K202" s="63">
        <f>2043.2-224.1</f>
        <v>1819.1</v>
      </c>
      <c r="L202" s="63">
        <v>2194.7</v>
      </c>
      <c r="M202" s="63">
        <v>2441.3</v>
      </c>
      <c r="N202" s="63">
        <v>2441.3</v>
      </c>
      <c r="O202" s="18">
        <v>35514.8</v>
      </c>
      <c r="P202" s="18">
        <f>SUM(J202:O202)</f>
        <v>61172.2</v>
      </c>
      <c r="Q202" s="29">
        <v>2021</v>
      </c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</row>
    <row r="203" spans="1:17" ht="63.75">
      <c r="A203" s="26" t="s">
        <v>259</v>
      </c>
      <c r="B203" s="29">
        <v>1</v>
      </c>
      <c r="C203" s="29">
        <v>1</v>
      </c>
      <c r="D203" s="29">
        <v>8</v>
      </c>
      <c r="E203" s="29">
        <v>0</v>
      </c>
      <c r="F203" s="29">
        <v>2</v>
      </c>
      <c r="G203" s="5"/>
      <c r="H203" s="9" t="s">
        <v>67</v>
      </c>
      <c r="I203" s="5" t="s">
        <v>265</v>
      </c>
      <c r="J203" s="7">
        <v>4</v>
      </c>
      <c r="K203" s="62">
        <f>904/19077*100</f>
        <v>4.7</v>
      </c>
      <c r="L203" s="62">
        <f>922/19805*100</f>
        <v>4.7</v>
      </c>
      <c r="M203" s="62">
        <v>4</v>
      </c>
      <c r="N203" s="62">
        <v>4</v>
      </c>
      <c r="O203" s="7">
        <v>4</v>
      </c>
      <c r="P203" s="7">
        <f>SUM(J203:O203)/6</f>
        <v>4.2</v>
      </c>
      <c r="Q203" s="5">
        <v>2021</v>
      </c>
    </row>
    <row r="204" spans="1:17" ht="51">
      <c r="A204" s="26" t="s">
        <v>259</v>
      </c>
      <c r="B204" s="29">
        <v>1</v>
      </c>
      <c r="C204" s="29">
        <v>1</v>
      </c>
      <c r="D204" s="29">
        <v>8</v>
      </c>
      <c r="E204" s="29">
        <v>0</v>
      </c>
      <c r="F204" s="29">
        <v>2</v>
      </c>
      <c r="G204" s="5"/>
      <c r="H204" s="9" t="s">
        <v>66</v>
      </c>
      <c r="I204" s="5" t="s">
        <v>260</v>
      </c>
      <c r="J204" s="7">
        <f>J202/3000</f>
        <v>5.6</v>
      </c>
      <c r="K204" s="62">
        <v>2.3</v>
      </c>
      <c r="L204" s="62">
        <f>922/L202</f>
        <v>0.4</v>
      </c>
      <c r="M204" s="62">
        <v>0.5</v>
      </c>
      <c r="N204" s="62">
        <v>0.5</v>
      </c>
      <c r="O204" s="7">
        <f>O202/3855</f>
        <v>9.2</v>
      </c>
      <c r="P204" s="7">
        <f>SUM(J204:O204)/6</f>
        <v>3.1</v>
      </c>
      <c r="Q204" s="5">
        <v>2021</v>
      </c>
    </row>
    <row r="205" spans="1:17" ht="38.25">
      <c r="A205" s="26" t="s">
        <v>259</v>
      </c>
      <c r="B205" s="29">
        <v>1</v>
      </c>
      <c r="C205" s="29">
        <v>1</v>
      </c>
      <c r="D205" s="29">
        <v>8</v>
      </c>
      <c r="E205" s="29">
        <v>0</v>
      </c>
      <c r="F205" s="29">
        <v>2</v>
      </c>
      <c r="G205" s="5"/>
      <c r="H205" s="9" t="s">
        <v>321</v>
      </c>
      <c r="I205" s="5" t="s">
        <v>279</v>
      </c>
      <c r="J205" s="3">
        <v>3000</v>
      </c>
      <c r="K205" s="60">
        <v>2996</v>
      </c>
      <c r="L205" s="154">
        <v>3275</v>
      </c>
      <c r="M205" s="60">
        <v>3741</v>
      </c>
      <c r="N205" s="60">
        <v>3798</v>
      </c>
      <c r="O205" s="3">
        <v>3855</v>
      </c>
      <c r="P205" s="130">
        <f>SUM(J205:O205)</f>
        <v>20665</v>
      </c>
      <c r="Q205" s="5">
        <v>2021</v>
      </c>
    </row>
    <row r="206" spans="1:28" s="120" customFormat="1" ht="38.25">
      <c r="A206" s="75" t="s">
        <v>259</v>
      </c>
      <c r="B206" s="76">
        <v>1</v>
      </c>
      <c r="C206" s="76">
        <v>1</v>
      </c>
      <c r="D206" s="76">
        <v>9</v>
      </c>
      <c r="E206" s="76">
        <v>0</v>
      </c>
      <c r="F206" s="76">
        <v>0</v>
      </c>
      <c r="G206" s="76"/>
      <c r="H206" s="77" t="s">
        <v>319</v>
      </c>
      <c r="I206" s="76" t="s">
        <v>260</v>
      </c>
      <c r="J206" s="78">
        <f>J207</f>
        <v>9999.9</v>
      </c>
      <c r="K206" s="78">
        <f>K207+K208</f>
        <v>10555.9</v>
      </c>
      <c r="L206" s="181">
        <f>L207+L208</f>
        <v>12931</v>
      </c>
      <c r="M206" s="78">
        <f>M207+M208</f>
        <v>10357.4</v>
      </c>
      <c r="N206" s="78">
        <f>N207+N208</f>
        <v>10357.4</v>
      </c>
      <c r="O206" s="78">
        <f>O207+O208</f>
        <v>11457.8</v>
      </c>
      <c r="P206" s="78">
        <f>J206+K206+L206+M206+N206+O206</f>
        <v>65659.4</v>
      </c>
      <c r="Q206" s="76">
        <v>2021</v>
      </c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</row>
    <row r="207" spans="1:28" s="120" customFormat="1" ht="12.75">
      <c r="A207" s="26" t="s">
        <v>259</v>
      </c>
      <c r="B207" s="29">
        <v>1</v>
      </c>
      <c r="C207" s="29">
        <v>1</v>
      </c>
      <c r="D207" s="29">
        <v>9</v>
      </c>
      <c r="E207" s="29">
        <v>0</v>
      </c>
      <c r="F207" s="29">
        <v>0</v>
      </c>
      <c r="G207" s="29">
        <v>3</v>
      </c>
      <c r="H207" s="19" t="s">
        <v>261</v>
      </c>
      <c r="I207" s="29" t="s">
        <v>260</v>
      </c>
      <c r="J207" s="18">
        <f aca="true" t="shared" si="50" ref="J207:O207">J215</f>
        <v>9999.9</v>
      </c>
      <c r="K207" s="18">
        <f t="shared" si="50"/>
        <v>10180.9</v>
      </c>
      <c r="L207" s="148">
        <f t="shared" si="50"/>
        <v>11438.3</v>
      </c>
      <c r="M207" s="18">
        <f t="shared" si="50"/>
        <v>10357.4</v>
      </c>
      <c r="N207" s="18">
        <f t="shared" si="50"/>
        <v>10357.4</v>
      </c>
      <c r="O207" s="18">
        <f t="shared" si="50"/>
        <v>11457.8</v>
      </c>
      <c r="P207" s="18">
        <f>J207+K207+L207+M207+N207+O207</f>
        <v>63791.7</v>
      </c>
      <c r="Q207" s="29">
        <v>2021</v>
      </c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</row>
    <row r="208" spans="1:28" s="120" customFormat="1" ht="12.75">
      <c r="A208" s="26" t="s">
        <v>259</v>
      </c>
      <c r="B208" s="29">
        <v>1</v>
      </c>
      <c r="C208" s="29">
        <v>1</v>
      </c>
      <c r="D208" s="29">
        <v>9</v>
      </c>
      <c r="E208" s="29">
        <v>0</v>
      </c>
      <c r="F208" s="29">
        <v>0</v>
      </c>
      <c r="G208" s="29">
        <v>3</v>
      </c>
      <c r="H208" s="19" t="s">
        <v>209</v>
      </c>
      <c r="I208" s="29" t="s">
        <v>260</v>
      </c>
      <c r="J208" s="18">
        <v>0</v>
      </c>
      <c r="K208" s="18">
        <f>K216</f>
        <v>375</v>
      </c>
      <c r="L208" s="148">
        <f>L216</f>
        <v>1492.7</v>
      </c>
      <c r="M208" s="18">
        <f>M216</f>
        <v>0</v>
      </c>
      <c r="N208" s="18">
        <f>N216</f>
        <v>0</v>
      </c>
      <c r="O208" s="18">
        <f>O216</f>
        <v>0</v>
      </c>
      <c r="P208" s="18">
        <f>J208+K208+L208+M208+N208+O208</f>
        <v>1867.7</v>
      </c>
      <c r="Q208" s="41">
        <v>2018</v>
      </c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</row>
    <row r="209" spans="1:17" ht="63.75">
      <c r="A209" s="26" t="s">
        <v>259</v>
      </c>
      <c r="B209" s="29">
        <v>1</v>
      </c>
      <c r="C209" s="29">
        <v>1</v>
      </c>
      <c r="D209" s="29">
        <v>9</v>
      </c>
      <c r="E209" s="29">
        <v>0</v>
      </c>
      <c r="F209" s="29">
        <v>0</v>
      </c>
      <c r="G209" s="5"/>
      <c r="H209" s="8" t="s">
        <v>65</v>
      </c>
      <c r="I209" s="5" t="s">
        <v>265</v>
      </c>
      <c r="J209" s="7">
        <v>100</v>
      </c>
      <c r="K209" s="62">
        <v>100</v>
      </c>
      <c r="L209" s="62">
        <v>100</v>
      </c>
      <c r="M209" s="62">
        <v>100</v>
      </c>
      <c r="N209" s="62">
        <v>100</v>
      </c>
      <c r="O209" s="7">
        <v>100</v>
      </c>
      <c r="P209" s="7">
        <v>100</v>
      </c>
      <c r="Q209" s="5">
        <v>2021</v>
      </c>
    </row>
    <row r="210" spans="1:17" ht="63.75">
      <c r="A210" s="26" t="s">
        <v>259</v>
      </c>
      <c r="B210" s="29">
        <v>1</v>
      </c>
      <c r="C210" s="29">
        <v>1</v>
      </c>
      <c r="D210" s="29">
        <v>9</v>
      </c>
      <c r="E210" s="29">
        <v>0</v>
      </c>
      <c r="F210" s="29">
        <v>0</v>
      </c>
      <c r="G210" s="5"/>
      <c r="H210" s="8" t="s">
        <v>122</v>
      </c>
      <c r="I210" s="5" t="s">
        <v>265</v>
      </c>
      <c r="J210" s="4">
        <f aca="true" t="shared" si="51" ref="J210:O210">J207/J9*100</f>
        <v>0.9</v>
      </c>
      <c r="K210" s="4">
        <f t="shared" si="51"/>
        <v>0.8</v>
      </c>
      <c r="L210" s="151">
        <f>L207/L9*100</f>
        <v>0.8</v>
      </c>
      <c r="M210" s="71">
        <v>0.9</v>
      </c>
      <c r="N210" s="71">
        <v>0.9</v>
      </c>
      <c r="O210" s="4">
        <f t="shared" si="51"/>
        <v>0.8</v>
      </c>
      <c r="P210" s="4">
        <f>SUM(J210:O210)/6</f>
        <v>0.9</v>
      </c>
      <c r="Q210" s="5">
        <v>2021</v>
      </c>
    </row>
    <row r="211" spans="1:17" ht="89.25">
      <c r="A211" s="26" t="s">
        <v>259</v>
      </c>
      <c r="B211" s="29">
        <v>1</v>
      </c>
      <c r="C211" s="29">
        <v>1</v>
      </c>
      <c r="D211" s="29">
        <v>9</v>
      </c>
      <c r="E211" s="29">
        <v>0</v>
      </c>
      <c r="F211" s="29">
        <v>0</v>
      </c>
      <c r="G211" s="5"/>
      <c r="H211" s="8" t="s">
        <v>169</v>
      </c>
      <c r="I211" s="5" t="s">
        <v>279</v>
      </c>
      <c r="J211" s="10">
        <v>0</v>
      </c>
      <c r="K211" s="60">
        <v>1230</v>
      </c>
      <c r="L211" s="60">
        <v>1300</v>
      </c>
      <c r="M211" s="60">
        <v>1300</v>
      </c>
      <c r="N211" s="60">
        <v>1300</v>
      </c>
      <c r="O211" s="60">
        <v>1230</v>
      </c>
      <c r="P211" s="3">
        <f>SUM(J211:O211)/6</f>
        <v>1060</v>
      </c>
      <c r="Q211" s="5">
        <v>2021</v>
      </c>
    </row>
    <row r="212" spans="1:17" ht="38.25">
      <c r="A212" s="81" t="s">
        <v>259</v>
      </c>
      <c r="B212" s="82">
        <v>1</v>
      </c>
      <c r="C212" s="82">
        <v>1</v>
      </c>
      <c r="D212" s="82">
        <v>9</v>
      </c>
      <c r="E212" s="82">
        <v>0</v>
      </c>
      <c r="F212" s="82">
        <v>1</v>
      </c>
      <c r="G212" s="83"/>
      <c r="H212" s="84" t="s">
        <v>230</v>
      </c>
      <c r="I212" s="83" t="s">
        <v>275</v>
      </c>
      <c r="J212" s="88" t="s">
        <v>276</v>
      </c>
      <c r="K212" s="88" t="s">
        <v>276</v>
      </c>
      <c r="L212" s="88" t="s">
        <v>276</v>
      </c>
      <c r="M212" s="88" t="s">
        <v>276</v>
      </c>
      <c r="N212" s="88" t="s">
        <v>276</v>
      </c>
      <c r="O212" s="88" t="s">
        <v>276</v>
      </c>
      <c r="P212" s="88" t="s">
        <v>276</v>
      </c>
      <c r="Q212" s="83">
        <v>2021</v>
      </c>
    </row>
    <row r="213" spans="1:17" ht="51">
      <c r="A213" s="26" t="s">
        <v>259</v>
      </c>
      <c r="B213" s="29">
        <v>1</v>
      </c>
      <c r="C213" s="29">
        <v>1</v>
      </c>
      <c r="D213" s="29">
        <v>9</v>
      </c>
      <c r="E213" s="29">
        <v>0</v>
      </c>
      <c r="F213" s="29">
        <v>1</v>
      </c>
      <c r="G213" s="5"/>
      <c r="H213" s="8" t="s">
        <v>320</v>
      </c>
      <c r="I213" s="5" t="s">
        <v>265</v>
      </c>
      <c r="J213" s="7">
        <v>100</v>
      </c>
      <c r="K213" s="7">
        <v>100</v>
      </c>
      <c r="L213" s="62">
        <v>100</v>
      </c>
      <c r="M213" s="99">
        <v>100</v>
      </c>
      <c r="N213" s="62">
        <v>100</v>
      </c>
      <c r="O213" s="7">
        <v>100</v>
      </c>
      <c r="P213" s="7">
        <v>100</v>
      </c>
      <c r="Q213" s="5">
        <v>2021</v>
      </c>
    </row>
    <row r="214" spans="1:28" s="120" customFormat="1" ht="51">
      <c r="A214" s="81" t="s">
        <v>259</v>
      </c>
      <c r="B214" s="82">
        <v>1</v>
      </c>
      <c r="C214" s="82">
        <v>1</v>
      </c>
      <c r="D214" s="82">
        <v>9</v>
      </c>
      <c r="E214" s="82">
        <v>0</v>
      </c>
      <c r="F214" s="82">
        <v>2</v>
      </c>
      <c r="G214" s="82"/>
      <c r="H214" s="86" t="s">
        <v>231</v>
      </c>
      <c r="I214" s="82" t="s">
        <v>260</v>
      </c>
      <c r="J214" s="85">
        <f>J215</f>
        <v>9999.9</v>
      </c>
      <c r="K214" s="85">
        <f>K215+K216</f>
        <v>10555.9</v>
      </c>
      <c r="L214" s="85">
        <f>L215+L216</f>
        <v>12931</v>
      </c>
      <c r="M214" s="85">
        <f>M215+M216</f>
        <v>10357.4</v>
      </c>
      <c r="N214" s="85">
        <f>N215+N216</f>
        <v>10357.4</v>
      </c>
      <c r="O214" s="85">
        <f>O215+O216</f>
        <v>11457.8</v>
      </c>
      <c r="P214" s="85">
        <f>SUM(J214:O214)</f>
        <v>65659.4</v>
      </c>
      <c r="Q214" s="82">
        <v>2021</v>
      </c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</row>
    <row r="215" spans="1:28" s="120" customFormat="1" ht="12.75">
      <c r="A215" s="26" t="s">
        <v>259</v>
      </c>
      <c r="B215" s="29">
        <v>1</v>
      </c>
      <c r="C215" s="29">
        <v>1</v>
      </c>
      <c r="D215" s="29">
        <v>9</v>
      </c>
      <c r="E215" s="29">
        <v>0</v>
      </c>
      <c r="F215" s="29">
        <v>2</v>
      </c>
      <c r="G215" s="29">
        <v>3</v>
      </c>
      <c r="H215" s="19" t="s">
        <v>261</v>
      </c>
      <c r="I215" s="29" t="s">
        <v>260</v>
      </c>
      <c r="J215" s="18">
        <f>10273-273.1</f>
        <v>9999.9</v>
      </c>
      <c r="K215" s="63">
        <v>10180.9</v>
      </c>
      <c r="L215" s="148">
        <v>11438.3</v>
      </c>
      <c r="M215" s="63">
        <v>10357.4</v>
      </c>
      <c r="N215" s="63">
        <v>10357.4</v>
      </c>
      <c r="O215" s="18">
        <v>11457.8</v>
      </c>
      <c r="P215" s="18">
        <f>SUM(J215:O215)</f>
        <v>63791.7</v>
      </c>
      <c r="Q215" s="29">
        <v>2021</v>
      </c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</row>
    <row r="216" spans="1:28" s="120" customFormat="1" ht="12.75">
      <c r="A216" s="26" t="s">
        <v>259</v>
      </c>
      <c r="B216" s="29">
        <v>1</v>
      </c>
      <c r="C216" s="29">
        <v>1</v>
      </c>
      <c r="D216" s="29">
        <v>9</v>
      </c>
      <c r="E216" s="29">
        <v>0</v>
      </c>
      <c r="F216" s="29">
        <v>2</v>
      </c>
      <c r="G216" s="29">
        <v>3</v>
      </c>
      <c r="H216" s="19" t="s">
        <v>209</v>
      </c>
      <c r="I216" s="29" t="s">
        <v>260</v>
      </c>
      <c r="J216" s="18">
        <v>0</v>
      </c>
      <c r="K216" s="63">
        <f>374.9+0.05</f>
        <v>375</v>
      </c>
      <c r="L216" s="148">
        <v>1492.7</v>
      </c>
      <c r="M216" s="63">
        <v>0</v>
      </c>
      <c r="N216" s="63">
        <v>0</v>
      </c>
      <c r="O216" s="18">
        <v>0</v>
      </c>
      <c r="P216" s="18">
        <f>SUM(J216:O216)</f>
        <v>1867.7</v>
      </c>
      <c r="Q216" s="29">
        <v>2018</v>
      </c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</row>
    <row r="217" spans="1:17" ht="58.5" customHeight="1">
      <c r="A217" s="26" t="s">
        <v>259</v>
      </c>
      <c r="B217" s="29">
        <v>1</v>
      </c>
      <c r="C217" s="29">
        <v>1</v>
      </c>
      <c r="D217" s="29">
        <v>9</v>
      </c>
      <c r="E217" s="29">
        <v>0</v>
      </c>
      <c r="F217" s="29">
        <v>2</v>
      </c>
      <c r="G217" s="5"/>
      <c r="H217" s="8" t="s">
        <v>77</v>
      </c>
      <c r="I217" s="5" t="s">
        <v>279</v>
      </c>
      <c r="J217" s="3">
        <v>1086</v>
      </c>
      <c r="K217" s="60">
        <v>0</v>
      </c>
      <c r="L217" s="60">
        <v>0</v>
      </c>
      <c r="M217" s="60">
        <v>0</v>
      </c>
      <c r="N217" s="60">
        <v>0</v>
      </c>
      <c r="O217" s="3">
        <v>0</v>
      </c>
      <c r="P217" s="3">
        <v>1086</v>
      </c>
      <c r="Q217" s="5">
        <v>2016</v>
      </c>
    </row>
    <row r="218" spans="1:17" ht="84.75" customHeight="1">
      <c r="A218" s="26" t="s">
        <v>259</v>
      </c>
      <c r="B218" s="29">
        <v>1</v>
      </c>
      <c r="C218" s="29">
        <v>1</v>
      </c>
      <c r="D218" s="29">
        <v>9</v>
      </c>
      <c r="E218" s="29">
        <v>0</v>
      </c>
      <c r="F218" s="29">
        <v>2</v>
      </c>
      <c r="G218" s="5"/>
      <c r="H218" s="8" t="s">
        <v>29</v>
      </c>
      <c r="I218" s="5" t="s">
        <v>210</v>
      </c>
      <c r="J218" s="3">
        <v>11795</v>
      </c>
      <c r="K218" s="60">
        <v>8400</v>
      </c>
      <c r="L218" s="60">
        <v>8400</v>
      </c>
      <c r="M218" s="60">
        <v>8400</v>
      </c>
      <c r="N218" s="60">
        <v>8400</v>
      </c>
      <c r="O218" s="3">
        <v>8400</v>
      </c>
      <c r="P218" s="3">
        <f>SUM(J218:O218)/6</f>
        <v>8966</v>
      </c>
      <c r="Q218" s="5">
        <v>2021</v>
      </c>
    </row>
    <row r="219" spans="1:17" ht="38.25">
      <c r="A219" s="29" t="s">
        <v>259</v>
      </c>
      <c r="B219" s="29">
        <v>1</v>
      </c>
      <c r="C219" s="29">
        <v>1</v>
      </c>
      <c r="D219" s="29">
        <v>9</v>
      </c>
      <c r="E219" s="29">
        <v>0</v>
      </c>
      <c r="F219" s="29">
        <v>2</v>
      </c>
      <c r="G219" s="12"/>
      <c r="H219" s="11" t="s">
        <v>207</v>
      </c>
      <c r="I219" s="12" t="s">
        <v>208</v>
      </c>
      <c r="J219" s="7">
        <v>0</v>
      </c>
      <c r="K219" s="62">
        <v>36066</v>
      </c>
      <c r="L219" s="206">
        <v>42098.7</v>
      </c>
      <c r="M219" s="62">
        <v>0</v>
      </c>
      <c r="N219" s="62">
        <v>0</v>
      </c>
      <c r="O219" s="7">
        <v>0</v>
      </c>
      <c r="P219" s="62">
        <v>41386.3</v>
      </c>
      <c r="Q219" s="5">
        <v>2018</v>
      </c>
    </row>
    <row r="220" spans="1:17" ht="63.75">
      <c r="A220" s="26" t="s">
        <v>259</v>
      </c>
      <c r="B220" s="29">
        <v>1</v>
      </c>
      <c r="C220" s="29">
        <v>1</v>
      </c>
      <c r="D220" s="29">
        <v>9</v>
      </c>
      <c r="E220" s="29">
        <v>0</v>
      </c>
      <c r="F220" s="29">
        <v>2</v>
      </c>
      <c r="G220" s="64"/>
      <c r="H220" s="8" t="s">
        <v>144</v>
      </c>
      <c r="I220" s="5" t="s">
        <v>279</v>
      </c>
      <c r="J220" s="3">
        <v>0</v>
      </c>
      <c r="K220" s="60">
        <v>200</v>
      </c>
      <c r="L220" s="60">
        <v>200</v>
      </c>
      <c r="M220" s="60">
        <v>200</v>
      </c>
      <c r="N220" s="60">
        <v>200</v>
      </c>
      <c r="O220" s="3">
        <v>200</v>
      </c>
      <c r="P220" s="3">
        <f>SUM(J220:O220)</f>
        <v>1000</v>
      </c>
      <c r="Q220" s="5">
        <v>2021</v>
      </c>
    </row>
    <row r="221" spans="1:17" s="112" customFormat="1" ht="63.75">
      <c r="A221" s="108" t="s">
        <v>259</v>
      </c>
      <c r="B221" s="109">
        <v>1</v>
      </c>
      <c r="C221" s="109">
        <v>1</v>
      </c>
      <c r="D221" s="109">
        <v>9</v>
      </c>
      <c r="E221" s="109">
        <v>0</v>
      </c>
      <c r="F221" s="109">
        <v>2</v>
      </c>
      <c r="G221" s="64"/>
      <c r="H221" s="70" t="s">
        <v>127</v>
      </c>
      <c r="I221" s="64" t="s">
        <v>279</v>
      </c>
      <c r="J221" s="60">
        <v>0</v>
      </c>
      <c r="K221" s="60">
        <v>0</v>
      </c>
      <c r="L221" s="60">
        <v>7</v>
      </c>
      <c r="M221" s="60">
        <v>7</v>
      </c>
      <c r="N221" s="60">
        <v>7</v>
      </c>
      <c r="O221" s="60">
        <v>0</v>
      </c>
      <c r="P221" s="60">
        <f>SUM(J221:O221)</f>
        <v>21</v>
      </c>
      <c r="Q221" s="64">
        <v>2020</v>
      </c>
    </row>
    <row r="222" spans="1:28" s="120" customFormat="1" ht="45.75" customHeight="1">
      <c r="A222" s="73" t="s">
        <v>259</v>
      </c>
      <c r="B222" s="56">
        <v>1</v>
      </c>
      <c r="C222" s="56">
        <v>2</v>
      </c>
      <c r="D222" s="56">
        <v>0</v>
      </c>
      <c r="E222" s="56">
        <v>0</v>
      </c>
      <c r="F222" s="56">
        <v>0</v>
      </c>
      <c r="G222" s="56"/>
      <c r="H222" s="74" t="s">
        <v>123</v>
      </c>
      <c r="I222" s="56" t="s">
        <v>260</v>
      </c>
      <c r="J222" s="57">
        <f>J223+J224+J225</f>
        <v>31048.7</v>
      </c>
      <c r="K222" s="57">
        <f>K223+K224</f>
        <v>84146.3</v>
      </c>
      <c r="L222" s="138">
        <f>L223+L224</f>
        <v>158635.7</v>
      </c>
      <c r="M222" s="57">
        <f>M223+M224</f>
        <v>119677.8</v>
      </c>
      <c r="N222" s="57">
        <f>N223+N224</f>
        <v>162761.5</v>
      </c>
      <c r="O222" s="57">
        <f>O223+O224</f>
        <v>212910</v>
      </c>
      <c r="P222" s="57">
        <f aca="true" t="shared" si="52" ref="P222:P228">J222+K222+L222+M222+N222+O222</f>
        <v>769180</v>
      </c>
      <c r="Q222" s="56">
        <v>2021</v>
      </c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</row>
    <row r="223" spans="1:28" s="120" customFormat="1" ht="12.75">
      <c r="A223" s="26" t="s">
        <v>259</v>
      </c>
      <c r="B223" s="29">
        <v>1</v>
      </c>
      <c r="C223" s="29">
        <v>2</v>
      </c>
      <c r="D223" s="29">
        <v>0</v>
      </c>
      <c r="E223" s="29">
        <v>0</v>
      </c>
      <c r="F223" s="29">
        <v>0</v>
      </c>
      <c r="G223" s="29">
        <v>3</v>
      </c>
      <c r="H223" s="19" t="s">
        <v>261</v>
      </c>
      <c r="I223" s="29" t="s">
        <v>260</v>
      </c>
      <c r="J223" s="18">
        <f aca="true" t="shared" si="53" ref="J223:O223">J227+J245+J260</f>
        <v>23599</v>
      </c>
      <c r="K223" s="63">
        <f t="shared" si="53"/>
        <v>82096.2</v>
      </c>
      <c r="L223" s="148">
        <f>L227+L245+L260</f>
        <v>155984.5</v>
      </c>
      <c r="M223" s="98">
        <f>M227+M245+M260</f>
        <v>119677.8</v>
      </c>
      <c r="N223" s="98">
        <f>N227+N245+N260</f>
        <v>162761.5</v>
      </c>
      <c r="O223" s="18">
        <f t="shared" si="53"/>
        <v>212910</v>
      </c>
      <c r="P223" s="63">
        <f t="shared" si="52"/>
        <v>757029</v>
      </c>
      <c r="Q223" s="29">
        <v>2021</v>
      </c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</row>
    <row r="224" spans="1:28" s="120" customFormat="1" ht="12.75">
      <c r="A224" s="26" t="s">
        <v>259</v>
      </c>
      <c r="B224" s="29">
        <v>1</v>
      </c>
      <c r="C224" s="29">
        <v>2</v>
      </c>
      <c r="D224" s="29">
        <v>0</v>
      </c>
      <c r="E224" s="29">
        <v>0</v>
      </c>
      <c r="F224" s="29">
        <v>0</v>
      </c>
      <c r="G224" s="29">
        <v>2</v>
      </c>
      <c r="H224" s="19" t="s">
        <v>262</v>
      </c>
      <c r="I224" s="29" t="s">
        <v>260</v>
      </c>
      <c r="J224" s="18">
        <f aca="true" t="shared" si="54" ref="J224:O224">J228+J261</f>
        <v>5966.4</v>
      </c>
      <c r="K224" s="18">
        <f t="shared" si="54"/>
        <v>2050.1</v>
      </c>
      <c r="L224" s="148">
        <f>L228+L261</f>
        <v>2651.2</v>
      </c>
      <c r="M224" s="18">
        <f>M228+M261</f>
        <v>0</v>
      </c>
      <c r="N224" s="18">
        <f>N228+N261</f>
        <v>0</v>
      </c>
      <c r="O224" s="18">
        <f t="shared" si="54"/>
        <v>0</v>
      </c>
      <c r="P224" s="18">
        <f t="shared" si="52"/>
        <v>10667.7</v>
      </c>
      <c r="Q224" s="29">
        <v>2018</v>
      </c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</row>
    <row r="225" spans="1:28" s="120" customFormat="1" ht="12.75">
      <c r="A225" s="26" t="s">
        <v>259</v>
      </c>
      <c r="B225" s="29">
        <v>1</v>
      </c>
      <c r="C225" s="29">
        <v>2</v>
      </c>
      <c r="D225" s="29">
        <v>0</v>
      </c>
      <c r="E225" s="29">
        <v>0</v>
      </c>
      <c r="F225" s="29">
        <v>0</v>
      </c>
      <c r="G225" s="29">
        <v>1</v>
      </c>
      <c r="H225" s="19" t="s">
        <v>263</v>
      </c>
      <c r="I225" s="29" t="s">
        <v>260</v>
      </c>
      <c r="J225" s="18">
        <f>J262</f>
        <v>1483.3</v>
      </c>
      <c r="K225" s="18">
        <v>0</v>
      </c>
      <c r="L225" s="148">
        <v>0</v>
      </c>
      <c r="M225" s="98">
        <v>0</v>
      </c>
      <c r="N225" s="98">
        <v>0</v>
      </c>
      <c r="O225" s="18">
        <v>0</v>
      </c>
      <c r="P225" s="63">
        <f t="shared" si="52"/>
        <v>1483.3</v>
      </c>
      <c r="Q225" s="29">
        <v>2016</v>
      </c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</row>
    <row r="226" spans="1:28" s="120" customFormat="1" ht="38.25">
      <c r="A226" s="75" t="s">
        <v>259</v>
      </c>
      <c r="B226" s="76">
        <v>1</v>
      </c>
      <c r="C226" s="76">
        <v>2</v>
      </c>
      <c r="D226" s="76">
        <v>1</v>
      </c>
      <c r="E226" s="76">
        <v>0</v>
      </c>
      <c r="F226" s="76">
        <v>0</v>
      </c>
      <c r="G226" s="76"/>
      <c r="H226" s="77" t="s">
        <v>28</v>
      </c>
      <c r="I226" s="76" t="s">
        <v>260</v>
      </c>
      <c r="J226" s="78">
        <f aca="true" t="shared" si="55" ref="J226:O226">J227+J228</f>
        <v>0</v>
      </c>
      <c r="K226" s="78">
        <f t="shared" si="55"/>
        <v>490</v>
      </c>
      <c r="L226" s="183">
        <f>L227+L228</f>
        <v>14301</v>
      </c>
      <c r="M226" s="78">
        <f>M227+M228</f>
        <v>32550</v>
      </c>
      <c r="N226" s="78">
        <f>N227+N228</f>
        <v>600</v>
      </c>
      <c r="O226" s="78">
        <f t="shared" si="55"/>
        <v>300</v>
      </c>
      <c r="P226" s="78">
        <f t="shared" si="52"/>
        <v>48241</v>
      </c>
      <c r="Q226" s="76">
        <v>2021</v>
      </c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</row>
    <row r="227" spans="1:28" s="120" customFormat="1" ht="12.75">
      <c r="A227" s="26" t="s">
        <v>259</v>
      </c>
      <c r="B227" s="29">
        <v>1</v>
      </c>
      <c r="C227" s="29">
        <v>2</v>
      </c>
      <c r="D227" s="29">
        <v>1</v>
      </c>
      <c r="E227" s="29">
        <v>0</v>
      </c>
      <c r="F227" s="29">
        <v>0</v>
      </c>
      <c r="G227" s="29">
        <v>3</v>
      </c>
      <c r="H227" s="19" t="s">
        <v>261</v>
      </c>
      <c r="I227" s="29" t="s">
        <v>260</v>
      </c>
      <c r="J227" s="18">
        <f aca="true" t="shared" si="56" ref="J227:O227">J234+J239</f>
        <v>0</v>
      </c>
      <c r="K227" s="18">
        <f t="shared" si="56"/>
        <v>490</v>
      </c>
      <c r="L227" s="159">
        <f>L234+L239</f>
        <v>13801</v>
      </c>
      <c r="M227" s="98">
        <f>M234+M239</f>
        <v>32550</v>
      </c>
      <c r="N227" s="98">
        <f>N234+N239</f>
        <v>600</v>
      </c>
      <c r="O227" s="18">
        <f t="shared" si="56"/>
        <v>300</v>
      </c>
      <c r="P227" s="63">
        <f t="shared" si="52"/>
        <v>47741</v>
      </c>
      <c r="Q227" s="29">
        <v>2021</v>
      </c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</row>
    <row r="228" spans="1:28" s="120" customFormat="1" ht="12.75">
      <c r="A228" s="26" t="s">
        <v>259</v>
      </c>
      <c r="B228" s="29">
        <v>1</v>
      </c>
      <c r="C228" s="29">
        <v>2</v>
      </c>
      <c r="D228" s="29">
        <v>1</v>
      </c>
      <c r="E228" s="29">
        <v>0</v>
      </c>
      <c r="F228" s="29">
        <v>0</v>
      </c>
      <c r="G228" s="29">
        <v>2</v>
      </c>
      <c r="H228" s="19" t="s">
        <v>262</v>
      </c>
      <c r="I228" s="29" t="s">
        <v>260</v>
      </c>
      <c r="J228" s="18">
        <f aca="true" t="shared" si="57" ref="J228:O228">J235</f>
        <v>0</v>
      </c>
      <c r="K228" s="18">
        <f t="shared" si="57"/>
        <v>0</v>
      </c>
      <c r="L228" s="159">
        <f>L235</f>
        <v>500</v>
      </c>
      <c r="M228" s="18">
        <f>M235</f>
        <v>0</v>
      </c>
      <c r="N228" s="18">
        <f>N235</f>
        <v>0</v>
      </c>
      <c r="O228" s="18">
        <f t="shared" si="57"/>
        <v>0</v>
      </c>
      <c r="P228" s="63">
        <f t="shared" si="52"/>
        <v>500</v>
      </c>
      <c r="Q228" s="29">
        <v>2018</v>
      </c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</row>
    <row r="229" spans="1:17" ht="51">
      <c r="A229" s="26" t="s">
        <v>259</v>
      </c>
      <c r="B229" s="29">
        <v>1</v>
      </c>
      <c r="C229" s="29">
        <v>2</v>
      </c>
      <c r="D229" s="29">
        <v>1</v>
      </c>
      <c r="E229" s="29">
        <v>0</v>
      </c>
      <c r="F229" s="29">
        <v>0</v>
      </c>
      <c r="G229" s="5"/>
      <c r="H229" s="8" t="s">
        <v>99</v>
      </c>
      <c r="I229" s="5" t="s">
        <v>265</v>
      </c>
      <c r="J229" s="4">
        <v>26.5</v>
      </c>
      <c r="K229" s="4">
        <v>31.3</v>
      </c>
      <c r="L229" s="160">
        <v>43.3</v>
      </c>
      <c r="M229" s="71">
        <v>46.3</v>
      </c>
      <c r="N229" s="71">
        <v>49.3</v>
      </c>
      <c r="O229" s="71">
        <v>53.7</v>
      </c>
      <c r="P229" s="71">
        <v>53.7</v>
      </c>
      <c r="Q229" s="5">
        <v>2021</v>
      </c>
    </row>
    <row r="230" spans="1:17" ht="38.25">
      <c r="A230" s="26" t="s">
        <v>259</v>
      </c>
      <c r="B230" s="29">
        <v>1</v>
      </c>
      <c r="C230" s="29">
        <v>2</v>
      </c>
      <c r="D230" s="29">
        <v>1</v>
      </c>
      <c r="E230" s="29">
        <v>0</v>
      </c>
      <c r="F230" s="29">
        <v>0</v>
      </c>
      <c r="G230" s="5"/>
      <c r="H230" s="8" t="s">
        <v>322</v>
      </c>
      <c r="I230" s="5" t="s">
        <v>265</v>
      </c>
      <c r="J230" s="7">
        <v>65</v>
      </c>
      <c r="K230" s="7">
        <v>64.5</v>
      </c>
      <c r="L230" s="160">
        <v>64</v>
      </c>
      <c r="M230" s="62">
        <v>63.5</v>
      </c>
      <c r="N230" s="62">
        <v>63</v>
      </c>
      <c r="O230" s="62">
        <v>62.5</v>
      </c>
      <c r="P230" s="71">
        <v>62.5</v>
      </c>
      <c r="Q230" s="5">
        <v>2021</v>
      </c>
    </row>
    <row r="231" spans="1:17" ht="51">
      <c r="A231" s="81" t="s">
        <v>259</v>
      </c>
      <c r="B231" s="82">
        <v>1</v>
      </c>
      <c r="C231" s="82">
        <v>2</v>
      </c>
      <c r="D231" s="82">
        <v>1</v>
      </c>
      <c r="E231" s="82">
        <v>0</v>
      </c>
      <c r="F231" s="82">
        <v>1</v>
      </c>
      <c r="G231" s="83"/>
      <c r="H231" s="84" t="s">
        <v>232</v>
      </c>
      <c r="I231" s="83" t="s">
        <v>275</v>
      </c>
      <c r="J231" s="88" t="s">
        <v>331</v>
      </c>
      <c r="K231" s="88" t="s">
        <v>276</v>
      </c>
      <c r="L231" s="184" t="s">
        <v>276</v>
      </c>
      <c r="M231" s="88" t="s">
        <v>276</v>
      </c>
      <c r="N231" s="88" t="s">
        <v>276</v>
      </c>
      <c r="O231" s="88" t="s">
        <v>276</v>
      </c>
      <c r="P231" s="88" t="s">
        <v>276</v>
      </c>
      <c r="Q231" s="83">
        <v>2021</v>
      </c>
    </row>
    <row r="232" spans="1:17" ht="63.75">
      <c r="A232" s="26" t="s">
        <v>259</v>
      </c>
      <c r="B232" s="29">
        <v>1</v>
      </c>
      <c r="C232" s="29">
        <v>2</v>
      </c>
      <c r="D232" s="29">
        <v>1</v>
      </c>
      <c r="E232" s="29">
        <v>0</v>
      </c>
      <c r="F232" s="29">
        <v>1</v>
      </c>
      <c r="G232" s="5"/>
      <c r="H232" s="8" t="s">
        <v>81</v>
      </c>
      <c r="I232" s="5" t="s">
        <v>290</v>
      </c>
      <c r="J232" s="16">
        <v>0</v>
      </c>
      <c r="K232" s="16">
        <v>1</v>
      </c>
      <c r="L232" s="162">
        <v>1</v>
      </c>
      <c r="M232" s="72">
        <v>1</v>
      </c>
      <c r="N232" s="72">
        <v>1</v>
      </c>
      <c r="O232" s="16">
        <v>1</v>
      </c>
      <c r="P232" s="16">
        <f aca="true" t="shared" si="58" ref="P232:P242">SUM(J232:O232)</f>
        <v>5</v>
      </c>
      <c r="Q232" s="5">
        <v>2021</v>
      </c>
    </row>
    <row r="233" spans="1:28" s="120" customFormat="1" ht="25.5">
      <c r="A233" s="81" t="s">
        <v>259</v>
      </c>
      <c r="B233" s="82">
        <v>1</v>
      </c>
      <c r="C233" s="82">
        <v>2</v>
      </c>
      <c r="D233" s="82">
        <v>1</v>
      </c>
      <c r="E233" s="82">
        <v>0</v>
      </c>
      <c r="F233" s="82">
        <v>2</v>
      </c>
      <c r="G233" s="82"/>
      <c r="H233" s="86" t="s">
        <v>233</v>
      </c>
      <c r="I233" s="82" t="s">
        <v>260</v>
      </c>
      <c r="J233" s="85">
        <f aca="true" t="shared" si="59" ref="J233:O233">J234+J235</f>
        <v>0</v>
      </c>
      <c r="K233" s="85">
        <f t="shared" si="59"/>
        <v>0</v>
      </c>
      <c r="L233" s="185">
        <f>L234+L235</f>
        <v>5642.1</v>
      </c>
      <c r="M233" s="85">
        <f>M234+M235</f>
        <v>23040</v>
      </c>
      <c r="N233" s="85">
        <f>N234+N235</f>
        <v>0</v>
      </c>
      <c r="O233" s="85">
        <f t="shared" si="59"/>
        <v>0</v>
      </c>
      <c r="P233" s="85">
        <f t="shared" si="58"/>
        <v>28682.1</v>
      </c>
      <c r="Q233" s="82">
        <v>2019</v>
      </c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</row>
    <row r="234" spans="1:28" s="120" customFormat="1" ht="12.75">
      <c r="A234" s="26" t="s">
        <v>259</v>
      </c>
      <c r="B234" s="29">
        <v>1</v>
      </c>
      <c r="C234" s="29">
        <v>2</v>
      </c>
      <c r="D234" s="29">
        <v>1</v>
      </c>
      <c r="E234" s="29">
        <v>0</v>
      </c>
      <c r="F234" s="29">
        <v>2</v>
      </c>
      <c r="G234" s="29">
        <v>3</v>
      </c>
      <c r="H234" s="19" t="s">
        <v>261</v>
      </c>
      <c r="I234" s="29" t="s">
        <v>260</v>
      </c>
      <c r="J234" s="18">
        <v>0</v>
      </c>
      <c r="K234" s="18">
        <v>0</v>
      </c>
      <c r="L234" s="159">
        <v>5142.1</v>
      </c>
      <c r="M234" s="63">
        <v>23040</v>
      </c>
      <c r="N234" s="63">
        <v>0</v>
      </c>
      <c r="O234" s="18">
        <v>0</v>
      </c>
      <c r="P234" s="18">
        <f t="shared" si="58"/>
        <v>28182.1</v>
      </c>
      <c r="Q234" s="29">
        <v>2019</v>
      </c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</row>
    <row r="235" spans="1:28" s="120" customFormat="1" ht="12.75">
      <c r="A235" s="26" t="s">
        <v>259</v>
      </c>
      <c r="B235" s="29">
        <v>1</v>
      </c>
      <c r="C235" s="29">
        <v>2</v>
      </c>
      <c r="D235" s="29">
        <v>1</v>
      </c>
      <c r="E235" s="29">
        <v>0</v>
      </c>
      <c r="F235" s="29">
        <v>2</v>
      </c>
      <c r="G235" s="29">
        <v>2</v>
      </c>
      <c r="H235" s="19" t="s">
        <v>262</v>
      </c>
      <c r="I235" s="29" t="s">
        <v>260</v>
      </c>
      <c r="J235" s="18">
        <v>0</v>
      </c>
      <c r="K235" s="18">
        <v>0</v>
      </c>
      <c r="L235" s="159">
        <v>500</v>
      </c>
      <c r="M235" s="63">
        <v>0</v>
      </c>
      <c r="N235" s="63">
        <v>0</v>
      </c>
      <c r="O235" s="18">
        <v>0</v>
      </c>
      <c r="P235" s="18">
        <f t="shared" si="58"/>
        <v>500</v>
      </c>
      <c r="Q235" s="29">
        <v>2018</v>
      </c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</row>
    <row r="236" spans="1:17" ht="25.5">
      <c r="A236" s="26" t="s">
        <v>259</v>
      </c>
      <c r="B236" s="29">
        <v>1</v>
      </c>
      <c r="C236" s="29">
        <v>2</v>
      </c>
      <c r="D236" s="29">
        <v>1</v>
      </c>
      <c r="E236" s="29">
        <v>0</v>
      </c>
      <c r="F236" s="29">
        <v>2</v>
      </c>
      <c r="G236" s="5"/>
      <c r="H236" s="9" t="s">
        <v>323</v>
      </c>
      <c r="I236" s="5" t="s">
        <v>290</v>
      </c>
      <c r="J236" s="3">
        <v>0</v>
      </c>
      <c r="K236" s="3">
        <v>0</v>
      </c>
      <c r="L236" s="163">
        <v>1</v>
      </c>
      <c r="M236" s="60">
        <v>3</v>
      </c>
      <c r="N236" s="60">
        <v>0</v>
      </c>
      <c r="O236" s="3">
        <v>0</v>
      </c>
      <c r="P236" s="3">
        <f t="shared" si="58"/>
        <v>4</v>
      </c>
      <c r="Q236" s="5">
        <v>2019</v>
      </c>
    </row>
    <row r="237" spans="1:17" ht="25.5">
      <c r="A237" s="26" t="s">
        <v>259</v>
      </c>
      <c r="B237" s="29">
        <v>1</v>
      </c>
      <c r="C237" s="29">
        <v>2</v>
      </c>
      <c r="D237" s="29">
        <v>1</v>
      </c>
      <c r="E237" s="29">
        <v>0</v>
      </c>
      <c r="F237" s="29">
        <v>2</v>
      </c>
      <c r="G237" s="5"/>
      <c r="H237" s="9" t="s">
        <v>324</v>
      </c>
      <c r="I237" s="5" t="s">
        <v>325</v>
      </c>
      <c r="J237" s="4">
        <v>0</v>
      </c>
      <c r="K237" s="4">
        <v>0</v>
      </c>
      <c r="L237" s="160">
        <v>1191.1</v>
      </c>
      <c r="M237" s="62">
        <v>4920</v>
      </c>
      <c r="N237" s="62">
        <v>0</v>
      </c>
      <c r="O237" s="7">
        <v>0</v>
      </c>
      <c r="P237" s="7">
        <f t="shared" si="58"/>
        <v>6111.1</v>
      </c>
      <c r="Q237" s="5">
        <v>2019</v>
      </c>
    </row>
    <row r="238" spans="1:28" s="120" customFormat="1" ht="51">
      <c r="A238" s="81" t="s">
        <v>259</v>
      </c>
      <c r="B238" s="82">
        <v>1</v>
      </c>
      <c r="C238" s="82">
        <v>2</v>
      </c>
      <c r="D238" s="82">
        <v>1</v>
      </c>
      <c r="E238" s="82">
        <v>0</v>
      </c>
      <c r="F238" s="82">
        <v>3</v>
      </c>
      <c r="G238" s="82"/>
      <c r="H238" s="86" t="s">
        <v>234</v>
      </c>
      <c r="I238" s="82" t="s">
        <v>260</v>
      </c>
      <c r="J238" s="85">
        <f aca="true" t="shared" si="60" ref="J238:O238">J239</f>
        <v>0</v>
      </c>
      <c r="K238" s="85">
        <f t="shared" si="60"/>
        <v>490</v>
      </c>
      <c r="L238" s="185">
        <f t="shared" si="60"/>
        <v>8658.9</v>
      </c>
      <c r="M238" s="85">
        <f t="shared" si="60"/>
        <v>9510</v>
      </c>
      <c r="N238" s="85">
        <f t="shared" si="60"/>
        <v>600</v>
      </c>
      <c r="O238" s="85">
        <f t="shared" si="60"/>
        <v>300</v>
      </c>
      <c r="P238" s="85">
        <f t="shared" si="58"/>
        <v>19558.9</v>
      </c>
      <c r="Q238" s="82">
        <v>2021</v>
      </c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</row>
    <row r="239" spans="1:28" s="120" customFormat="1" ht="12.75">
      <c r="A239" s="26" t="s">
        <v>259</v>
      </c>
      <c r="B239" s="29">
        <v>1</v>
      </c>
      <c r="C239" s="29">
        <v>2</v>
      </c>
      <c r="D239" s="29">
        <v>1</v>
      </c>
      <c r="E239" s="29">
        <v>0</v>
      </c>
      <c r="F239" s="29">
        <v>3</v>
      </c>
      <c r="G239" s="29">
        <v>3</v>
      </c>
      <c r="H239" s="19" t="s">
        <v>261</v>
      </c>
      <c r="I239" s="29" t="s">
        <v>260</v>
      </c>
      <c r="J239" s="18">
        <v>0</v>
      </c>
      <c r="K239" s="18">
        <v>490</v>
      </c>
      <c r="L239" s="159">
        <v>8658.9</v>
      </c>
      <c r="M239" s="63">
        <v>9510</v>
      </c>
      <c r="N239" s="63">
        <v>600</v>
      </c>
      <c r="O239" s="18">
        <v>300</v>
      </c>
      <c r="P239" s="18">
        <f t="shared" si="58"/>
        <v>19558.9</v>
      </c>
      <c r="Q239" s="29">
        <v>2021</v>
      </c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</row>
    <row r="240" spans="1:17" ht="25.5">
      <c r="A240" s="26" t="s">
        <v>259</v>
      </c>
      <c r="B240" s="29">
        <v>1</v>
      </c>
      <c r="C240" s="29">
        <v>2</v>
      </c>
      <c r="D240" s="29">
        <v>1</v>
      </c>
      <c r="E240" s="29">
        <v>0</v>
      </c>
      <c r="F240" s="29">
        <v>3</v>
      </c>
      <c r="G240" s="5"/>
      <c r="H240" s="9" t="s">
        <v>326</v>
      </c>
      <c r="I240" s="5" t="s">
        <v>290</v>
      </c>
      <c r="J240" s="3">
        <v>0</v>
      </c>
      <c r="K240" s="3">
        <v>2</v>
      </c>
      <c r="L240" s="163">
        <f>1+38</f>
        <v>39</v>
      </c>
      <c r="M240" s="60">
        <v>40</v>
      </c>
      <c r="N240" s="60">
        <v>1</v>
      </c>
      <c r="O240" s="3">
        <v>0</v>
      </c>
      <c r="P240" s="3">
        <f t="shared" si="58"/>
        <v>82</v>
      </c>
      <c r="Q240" s="5">
        <v>2020</v>
      </c>
    </row>
    <row r="241" spans="1:17" ht="25.5">
      <c r="A241" s="26" t="s">
        <v>259</v>
      </c>
      <c r="B241" s="29">
        <v>1</v>
      </c>
      <c r="C241" s="29">
        <v>2</v>
      </c>
      <c r="D241" s="29">
        <v>1</v>
      </c>
      <c r="E241" s="29">
        <v>0</v>
      </c>
      <c r="F241" s="29">
        <v>3</v>
      </c>
      <c r="G241" s="5"/>
      <c r="H241" s="9" t="s">
        <v>327</v>
      </c>
      <c r="I241" s="5" t="s">
        <v>325</v>
      </c>
      <c r="J241" s="4">
        <v>0</v>
      </c>
      <c r="K241" s="4">
        <f>22.5*2</f>
        <v>45</v>
      </c>
      <c r="L241" s="160">
        <f>22.5*39</f>
        <v>877.5</v>
      </c>
      <c r="M241" s="71">
        <v>900</v>
      </c>
      <c r="N241" s="71">
        <v>22.5</v>
      </c>
      <c r="O241" s="71">
        <v>0</v>
      </c>
      <c r="P241" s="7">
        <f t="shared" si="58"/>
        <v>1845</v>
      </c>
      <c r="Q241" s="5">
        <v>2020</v>
      </c>
    </row>
    <row r="242" spans="1:17" ht="25.5">
      <c r="A242" s="26" t="s">
        <v>259</v>
      </c>
      <c r="B242" s="29">
        <v>1</v>
      </c>
      <c r="C242" s="29">
        <v>2</v>
      </c>
      <c r="D242" s="29">
        <v>1</v>
      </c>
      <c r="E242" s="29">
        <v>0</v>
      </c>
      <c r="F242" s="29">
        <v>3</v>
      </c>
      <c r="G242" s="5"/>
      <c r="H242" s="9" t="s">
        <v>215</v>
      </c>
      <c r="I242" s="5" t="s">
        <v>290</v>
      </c>
      <c r="J242" s="3">
        <v>0</v>
      </c>
      <c r="K242" s="3">
        <v>0</v>
      </c>
      <c r="L242" s="163">
        <v>0</v>
      </c>
      <c r="M242" s="60">
        <v>0</v>
      </c>
      <c r="N242" s="60">
        <v>1</v>
      </c>
      <c r="O242" s="60">
        <v>0</v>
      </c>
      <c r="P242" s="3">
        <f t="shared" si="58"/>
        <v>1</v>
      </c>
      <c r="Q242" s="5">
        <v>2020</v>
      </c>
    </row>
    <row r="243" spans="1:28" s="145" customFormat="1" ht="35.25" customHeight="1">
      <c r="A243" s="139" t="s">
        <v>259</v>
      </c>
      <c r="B243" s="140">
        <v>1</v>
      </c>
      <c r="C243" s="140">
        <v>2</v>
      </c>
      <c r="D243" s="140">
        <v>1</v>
      </c>
      <c r="E243" s="140">
        <v>0</v>
      </c>
      <c r="F243" s="140">
        <v>3</v>
      </c>
      <c r="G243" s="141"/>
      <c r="H243" s="207" t="s">
        <v>403</v>
      </c>
      <c r="I243" s="141" t="s">
        <v>290</v>
      </c>
      <c r="J243" s="142">
        <v>0</v>
      </c>
      <c r="K243" s="142">
        <v>0</v>
      </c>
      <c r="L243" s="143">
        <v>2</v>
      </c>
      <c r="M243" s="143">
        <v>0</v>
      </c>
      <c r="N243" s="143">
        <v>0</v>
      </c>
      <c r="O243" s="143">
        <v>0</v>
      </c>
      <c r="P243" s="142">
        <v>0</v>
      </c>
      <c r="Q243" s="141">
        <v>2018</v>
      </c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</row>
    <row r="244" spans="1:28" s="120" customFormat="1" ht="38.25">
      <c r="A244" s="75" t="s">
        <v>259</v>
      </c>
      <c r="B244" s="76">
        <v>1</v>
      </c>
      <c r="C244" s="76">
        <v>2</v>
      </c>
      <c r="D244" s="76">
        <v>2</v>
      </c>
      <c r="E244" s="76">
        <v>0</v>
      </c>
      <c r="F244" s="76">
        <v>0</v>
      </c>
      <c r="G244" s="76"/>
      <c r="H244" s="77" t="s">
        <v>328</v>
      </c>
      <c r="I244" s="76" t="s">
        <v>260</v>
      </c>
      <c r="J244" s="78">
        <f aca="true" t="shared" si="61" ref="J244:O244">J245</f>
        <v>286.4</v>
      </c>
      <c r="K244" s="78">
        <f t="shared" si="61"/>
        <v>7296.9</v>
      </c>
      <c r="L244" s="183">
        <f>L245</f>
        <v>5424.9</v>
      </c>
      <c r="M244" s="78">
        <f t="shared" si="61"/>
        <v>58045.2</v>
      </c>
      <c r="N244" s="78">
        <f t="shared" si="61"/>
        <v>132039.6</v>
      </c>
      <c r="O244" s="78">
        <f t="shared" si="61"/>
        <v>187000</v>
      </c>
      <c r="P244" s="78">
        <f>J244+K244+L244+M244+N244+O244</f>
        <v>390093</v>
      </c>
      <c r="Q244" s="76">
        <v>2021</v>
      </c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</row>
    <row r="245" spans="1:28" s="120" customFormat="1" ht="12.75">
      <c r="A245" s="26" t="s">
        <v>259</v>
      </c>
      <c r="B245" s="29">
        <v>1</v>
      </c>
      <c r="C245" s="29">
        <v>2</v>
      </c>
      <c r="D245" s="29">
        <v>2</v>
      </c>
      <c r="E245" s="29">
        <v>0</v>
      </c>
      <c r="F245" s="29">
        <v>0</v>
      </c>
      <c r="G245" s="29">
        <v>3</v>
      </c>
      <c r="H245" s="19" t="s">
        <v>261</v>
      </c>
      <c r="I245" s="29" t="s">
        <v>260</v>
      </c>
      <c r="J245" s="18">
        <f aca="true" t="shared" si="62" ref="J245:O245">J252+J256</f>
        <v>286.4</v>
      </c>
      <c r="K245" s="18">
        <f t="shared" si="62"/>
        <v>7296.9</v>
      </c>
      <c r="L245" s="159">
        <v>5424.9</v>
      </c>
      <c r="M245" s="98">
        <f>M252+M256</f>
        <v>58045.2</v>
      </c>
      <c r="N245" s="98">
        <f>N252+N256</f>
        <v>132039.6</v>
      </c>
      <c r="O245" s="18">
        <f t="shared" si="62"/>
        <v>187000</v>
      </c>
      <c r="P245" s="63">
        <f>J245+K245+L245+M245+N245+O245</f>
        <v>390093</v>
      </c>
      <c r="Q245" s="29">
        <v>2021</v>
      </c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</row>
    <row r="246" spans="1:17" ht="38.25">
      <c r="A246" s="26" t="s">
        <v>259</v>
      </c>
      <c r="B246" s="29">
        <v>1</v>
      </c>
      <c r="C246" s="29">
        <v>2</v>
      </c>
      <c r="D246" s="29">
        <v>2</v>
      </c>
      <c r="E246" s="29">
        <v>0</v>
      </c>
      <c r="F246" s="29">
        <v>0</v>
      </c>
      <c r="G246" s="5"/>
      <c r="H246" s="8" t="s">
        <v>329</v>
      </c>
      <c r="I246" s="5" t="s">
        <v>265</v>
      </c>
      <c r="J246" s="7">
        <v>3.5</v>
      </c>
      <c r="K246" s="7">
        <v>3.5</v>
      </c>
      <c r="L246" s="160">
        <v>3.5</v>
      </c>
      <c r="M246" s="62">
        <v>2.8</v>
      </c>
      <c r="N246" s="62">
        <v>3.2</v>
      </c>
      <c r="O246" s="7">
        <v>9.3</v>
      </c>
      <c r="P246" s="7">
        <v>9.3</v>
      </c>
      <c r="Q246" s="5">
        <v>2021</v>
      </c>
    </row>
    <row r="247" spans="1:17" ht="63.75">
      <c r="A247" s="26" t="s">
        <v>259</v>
      </c>
      <c r="B247" s="29">
        <v>1</v>
      </c>
      <c r="C247" s="29">
        <v>2</v>
      </c>
      <c r="D247" s="29">
        <v>2</v>
      </c>
      <c r="E247" s="29">
        <v>0</v>
      </c>
      <c r="F247" s="29">
        <v>0</v>
      </c>
      <c r="G247" s="34"/>
      <c r="H247" s="35" t="s">
        <v>330</v>
      </c>
      <c r="I247" s="34" t="s">
        <v>265</v>
      </c>
      <c r="J247" s="36">
        <v>2.9</v>
      </c>
      <c r="K247" s="36">
        <v>10.4</v>
      </c>
      <c r="L247" s="160">
        <v>7.5</v>
      </c>
      <c r="M247" s="136">
        <v>4.5</v>
      </c>
      <c r="N247" s="136">
        <v>1.5</v>
      </c>
      <c r="O247" s="36">
        <v>3</v>
      </c>
      <c r="P247" s="71">
        <v>3.5</v>
      </c>
      <c r="Q247" s="34">
        <v>2021</v>
      </c>
    </row>
    <row r="248" spans="1:17" ht="89.25">
      <c r="A248" s="81" t="s">
        <v>259</v>
      </c>
      <c r="B248" s="82">
        <v>1</v>
      </c>
      <c r="C248" s="82">
        <v>2</v>
      </c>
      <c r="D248" s="82">
        <v>2</v>
      </c>
      <c r="E248" s="82">
        <v>0</v>
      </c>
      <c r="F248" s="82">
        <v>1</v>
      </c>
      <c r="G248" s="83"/>
      <c r="H248" s="84" t="s">
        <v>82</v>
      </c>
      <c r="I248" s="83" t="s">
        <v>275</v>
      </c>
      <c r="J248" s="88" t="s">
        <v>276</v>
      </c>
      <c r="K248" s="88" t="s">
        <v>276</v>
      </c>
      <c r="L248" s="184" t="s">
        <v>276</v>
      </c>
      <c r="M248" s="88" t="s">
        <v>276</v>
      </c>
      <c r="N248" s="88" t="s">
        <v>276</v>
      </c>
      <c r="O248" s="88" t="s">
        <v>276</v>
      </c>
      <c r="P248" s="88" t="s">
        <v>276</v>
      </c>
      <c r="Q248" s="83">
        <v>2021</v>
      </c>
    </row>
    <row r="249" spans="1:17" ht="63.75">
      <c r="A249" s="26" t="s">
        <v>259</v>
      </c>
      <c r="B249" s="29">
        <v>1</v>
      </c>
      <c r="C249" s="29">
        <v>2</v>
      </c>
      <c r="D249" s="29">
        <v>2</v>
      </c>
      <c r="E249" s="29">
        <v>0</v>
      </c>
      <c r="F249" s="29">
        <v>1</v>
      </c>
      <c r="G249" s="5"/>
      <c r="H249" s="9" t="s">
        <v>332</v>
      </c>
      <c r="I249" s="5" t="s">
        <v>290</v>
      </c>
      <c r="J249" s="3">
        <v>0</v>
      </c>
      <c r="K249" s="3">
        <v>1</v>
      </c>
      <c r="L249" s="163">
        <v>0</v>
      </c>
      <c r="M249" s="60">
        <v>2</v>
      </c>
      <c r="N249" s="60">
        <v>1</v>
      </c>
      <c r="O249" s="3">
        <v>1</v>
      </c>
      <c r="P249" s="16">
        <f aca="true" t="shared" si="63" ref="P249:P258">SUM(J249:O249)</f>
        <v>5</v>
      </c>
      <c r="Q249" s="5">
        <v>2021</v>
      </c>
    </row>
    <row r="250" spans="1:17" ht="76.5">
      <c r="A250" s="26" t="s">
        <v>259</v>
      </c>
      <c r="B250" s="29">
        <v>1</v>
      </c>
      <c r="C250" s="29">
        <v>2</v>
      </c>
      <c r="D250" s="29">
        <v>2</v>
      </c>
      <c r="E250" s="29">
        <v>0</v>
      </c>
      <c r="F250" s="29">
        <v>1</v>
      </c>
      <c r="G250" s="34"/>
      <c r="H250" s="37" t="s">
        <v>71</v>
      </c>
      <c r="I250" s="34" t="s">
        <v>290</v>
      </c>
      <c r="J250" s="16">
        <v>1</v>
      </c>
      <c r="K250" s="16">
        <v>1</v>
      </c>
      <c r="L250" s="162">
        <v>1</v>
      </c>
      <c r="M250" s="72">
        <v>1</v>
      </c>
      <c r="N250" s="72">
        <v>1</v>
      </c>
      <c r="O250" s="16">
        <v>1</v>
      </c>
      <c r="P250" s="16">
        <f t="shared" si="63"/>
        <v>6</v>
      </c>
      <c r="Q250" s="34">
        <v>2021</v>
      </c>
    </row>
    <row r="251" spans="1:28" s="120" customFormat="1" ht="63.75">
      <c r="A251" s="81" t="s">
        <v>259</v>
      </c>
      <c r="B251" s="82">
        <v>1</v>
      </c>
      <c r="C251" s="82">
        <v>2</v>
      </c>
      <c r="D251" s="82">
        <v>2</v>
      </c>
      <c r="E251" s="82">
        <v>0</v>
      </c>
      <c r="F251" s="82">
        <v>2</v>
      </c>
      <c r="G251" s="82"/>
      <c r="H251" s="86" t="s">
        <v>235</v>
      </c>
      <c r="I251" s="82" t="s">
        <v>260</v>
      </c>
      <c r="J251" s="85">
        <f aca="true" t="shared" si="64" ref="J251:O251">J252</f>
        <v>286.4</v>
      </c>
      <c r="K251" s="85">
        <f t="shared" si="64"/>
        <v>781.4</v>
      </c>
      <c r="L251" s="185">
        <f t="shared" si="64"/>
        <v>2603.5</v>
      </c>
      <c r="M251" s="85">
        <f t="shared" si="64"/>
        <v>0</v>
      </c>
      <c r="N251" s="85">
        <f t="shared" si="64"/>
        <v>900</v>
      </c>
      <c r="O251" s="85">
        <f t="shared" si="64"/>
        <v>0</v>
      </c>
      <c r="P251" s="85">
        <f t="shared" si="63"/>
        <v>4571.3</v>
      </c>
      <c r="Q251" s="82">
        <v>2020</v>
      </c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</row>
    <row r="252" spans="1:28" s="120" customFormat="1" ht="12.75">
      <c r="A252" s="26" t="s">
        <v>259</v>
      </c>
      <c r="B252" s="29">
        <v>1</v>
      </c>
      <c r="C252" s="29">
        <v>2</v>
      </c>
      <c r="D252" s="29">
        <v>2</v>
      </c>
      <c r="E252" s="29">
        <v>0</v>
      </c>
      <c r="F252" s="29">
        <v>2</v>
      </c>
      <c r="G252" s="29">
        <v>3</v>
      </c>
      <c r="H252" s="19" t="s">
        <v>261</v>
      </c>
      <c r="I252" s="29" t="s">
        <v>260</v>
      </c>
      <c r="J252" s="18">
        <f>230.4+56</f>
        <v>286.4</v>
      </c>
      <c r="K252" s="63">
        <v>781.4</v>
      </c>
      <c r="L252" s="159">
        <v>2603.5</v>
      </c>
      <c r="M252" s="63">
        <v>0</v>
      </c>
      <c r="N252" s="63">
        <v>900</v>
      </c>
      <c r="O252" s="18">
        <v>0</v>
      </c>
      <c r="P252" s="18">
        <f t="shared" si="63"/>
        <v>4571.3</v>
      </c>
      <c r="Q252" s="29">
        <v>2020</v>
      </c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</row>
    <row r="253" spans="1:17" ht="38.25">
      <c r="A253" s="26" t="s">
        <v>259</v>
      </c>
      <c r="B253" s="29">
        <v>1</v>
      </c>
      <c r="C253" s="29">
        <v>2</v>
      </c>
      <c r="D253" s="29">
        <v>2</v>
      </c>
      <c r="E253" s="29">
        <v>0</v>
      </c>
      <c r="F253" s="29">
        <v>2</v>
      </c>
      <c r="G253" s="5"/>
      <c r="H253" s="9" t="s">
        <v>333</v>
      </c>
      <c r="I253" s="5" t="s">
        <v>290</v>
      </c>
      <c r="J253" s="1">
        <v>0</v>
      </c>
      <c r="K253" s="1">
        <v>6</v>
      </c>
      <c r="L253" s="164">
        <v>7</v>
      </c>
      <c r="M253" s="67">
        <v>0</v>
      </c>
      <c r="N253" s="67">
        <v>0</v>
      </c>
      <c r="O253" s="1">
        <v>0</v>
      </c>
      <c r="P253" s="1">
        <f t="shared" si="63"/>
        <v>13</v>
      </c>
      <c r="Q253" s="5">
        <v>2018</v>
      </c>
    </row>
    <row r="254" spans="1:17" ht="25.5">
      <c r="A254" s="26" t="s">
        <v>259</v>
      </c>
      <c r="B254" s="29">
        <v>1</v>
      </c>
      <c r="C254" s="29">
        <v>2</v>
      </c>
      <c r="D254" s="29">
        <v>2</v>
      </c>
      <c r="E254" s="29">
        <v>0</v>
      </c>
      <c r="F254" s="29">
        <v>2</v>
      </c>
      <c r="G254" s="5"/>
      <c r="H254" s="9" t="s">
        <v>334</v>
      </c>
      <c r="I254" s="5" t="s">
        <v>290</v>
      </c>
      <c r="J254" s="1">
        <v>2</v>
      </c>
      <c r="K254" s="1">
        <v>0</v>
      </c>
      <c r="L254" s="164">
        <v>5</v>
      </c>
      <c r="M254" s="67">
        <v>0</v>
      </c>
      <c r="N254" s="67">
        <v>1</v>
      </c>
      <c r="O254" s="1">
        <v>0</v>
      </c>
      <c r="P254" s="1">
        <f t="shared" si="63"/>
        <v>8</v>
      </c>
      <c r="Q254" s="5">
        <v>2020</v>
      </c>
    </row>
    <row r="255" spans="1:28" s="120" customFormat="1" ht="38.25">
      <c r="A255" s="81" t="s">
        <v>259</v>
      </c>
      <c r="B255" s="82">
        <v>1</v>
      </c>
      <c r="C255" s="82">
        <v>2</v>
      </c>
      <c r="D255" s="82">
        <v>2</v>
      </c>
      <c r="E255" s="82">
        <v>0</v>
      </c>
      <c r="F255" s="82">
        <v>3</v>
      </c>
      <c r="G255" s="82"/>
      <c r="H255" s="86" t="s">
        <v>236</v>
      </c>
      <c r="I255" s="82" t="s">
        <v>260</v>
      </c>
      <c r="J255" s="85">
        <f aca="true" t="shared" si="65" ref="J255:O255">J256</f>
        <v>0</v>
      </c>
      <c r="K255" s="85">
        <f t="shared" si="65"/>
        <v>6515.5</v>
      </c>
      <c r="L255" s="185">
        <f t="shared" si="65"/>
        <v>2821.4</v>
      </c>
      <c r="M255" s="85">
        <f t="shared" si="65"/>
        <v>58045.2</v>
      </c>
      <c r="N255" s="85">
        <f t="shared" si="65"/>
        <v>131139.6</v>
      </c>
      <c r="O255" s="85">
        <f t="shared" si="65"/>
        <v>187000</v>
      </c>
      <c r="P255" s="85">
        <f t="shared" si="63"/>
        <v>385521.7</v>
      </c>
      <c r="Q255" s="82">
        <v>2021</v>
      </c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</row>
    <row r="256" spans="1:28" s="120" customFormat="1" ht="12.75">
      <c r="A256" s="26" t="s">
        <v>259</v>
      </c>
      <c r="B256" s="29">
        <v>1</v>
      </c>
      <c r="C256" s="29">
        <v>2</v>
      </c>
      <c r="D256" s="29">
        <v>2</v>
      </c>
      <c r="E256" s="29">
        <v>0</v>
      </c>
      <c r="F256" s="29">
        <v>3</v>
      </c>
      <c r="G256" s="29">
        <v>3</v>
      </c>
      <c r="H256" s="19" t="s">
        <v>261</v>
      </c>
      <c r="I256" s="29" t="s">
        <v>260</v>
      </c>
      <c r="J256" s="18">
        <v>0</v>
      </c>
      <c r="K256" s="63">
        <v>6515.5</v>
      </c>
      <c r="L256" s="159">
        <v>2821.4</v>
      </c>
      <c r="M256" s="63">
        <v>58045.2</v>
      </c>
      <c r="N256" s="63">
        <v>131139.6</v>
      </c>
      <c r="O256" s="18">
        <v>187000</v>
      </c>
      <c r="P256" s="18">
        <f t="shared" si="63"/>
        <v>385521.7</v>
      </c>
      <c r="Q256" s="29">
        <v>2021</v>
      </c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</row>
    <row r="257" spans="1:17" ht="38.25">
      <c r="A257" s="26" t="s">
        <v>259</v>
      </c>
      <c r="B257" s="29">
        <v>1</v>
      </c>
      <c r="C257" s="29">
        <v>2</v>
      </c>
      <c r="D257" s="29">
        <v>2</v>
      </c>
      <c r="E257" s="29">
        <v>0</v>
      </c>
      <c r="F257" s="29">
        <v>3</v>
      </c>
      <c r="G257" s="38"/>
      <c r="H257" s="39" t="s">
        <v>335</v>
      </c>
      <c r="I257" s="38" t="s">
        <v>290</v>
      </c>
      <c r="J257" s="13">
        <v>0</v>
      </c>
      <c r="K257" s="13">
        <v>1</v>
      </c>
      <c r="L257" s="165">
        <v>1</v>
      </c>
      <c r="M257" s="135">
        <v>3</v>
      </c>
      <c r="N257" s="135">
        <v>1</v>
      </c>
      <c r="O257" s="13">
        <v>1</v>
      </c>
      <c r="P257" s="3">
        <f t="shared" si="63"/>
        <v>7</v>
      </c>
      <c r="Q257" s="40">
        <v>2021</v>
      </c>
    </row>
    <row r="258" spans="1:17" ht="51">
      <c r="A258" s="26" t="s">
        <v>259</v>
      </c>
      <c r="B258" s="29">
        <v>1</v>
      </c>
      <c r="C258" s="29">
        <v>2</v>
      </c>
      <c r="D258" s="29">
        <v>2</v>
      </c>
      <c r="E258" s="29">
        <v>0</v>
      </c>
      <c r="F258" s="29">
        <v>3</v>
      </c>
      <c r="G258" s="38"/>
      <c r="H258" s="9" t="s">
        <v>336</v>
      </c>
      <c r="I258" s="5" t="s">
        <v>290</v>
      </c>
      <c r="J258" s="3">
        <v>0</v>
      </c>
      <c r="K258" s="3">
        <v>0</v>
      </c>
      <c r="L258" s="163">
        <v>0</v>
      </c>
      <c r="M258" s="60">
        <v>0</v>
      </c>
      <c r="N258" s="60">
        <v>1</v>
      </c>
      <c r="O258" s="3">
        <v>1</v>
      </c>
      <c r="P258" s="3">
        <f t="shared" si="63"/>
        <v>2</v>
      </c>
      <c r="Q258" s="5">
        <v>2021</v>
      </c>
    </row>
    <row r="259" spans="1:28" s="120" customFormat="1" ht="38.25">
      <c r="A259" s="75" t="s">
        <v>259</v>
      </c>
      <c r="B259" s="76">
        <v>1</v>
      </c>
      <c r="C259" s="76">
        <v>2</v>
      </c>
      <c r="D259" s="76">
        <v>3</v>
      </c>
      <c r="E259" s="76">
        <v>0</v>
      </c>
      <c r="F259" s="76">
        <v>0</v>
      </c>
      <c r="G259" s="76"/>
      <c r="H259" s="77" t="s">
        <v>337</v>
      </c>
      <c r="I259" s="76" t="s">
        <v>260</v>
      </c>
      <c r="J259" s="78">
        <f>J260+J261+J262</f>
        <v>30762.3</v>
      </c>
      <c r="K259" s="78">
        <f>K260+K261</f>
        <v>76359.4</v>
      </c>
      <c r="L259" s="183">
        <f>L260+L261</f>
        <v>138909.8</v>
      </c>
      <c r="M259" s="78">
        <f>M260+M261</f>
        <v>29082.6</v>
      </c>
      <c r="N259" s="78">
        <f>N260+N261</f>
        <v>30121.9</v>
      </c>
      <c r="O259" s="78">
        <f>O260+O261</f>
        <v>25610</v>
      </c>
      <c r="P259" s="78">
        <f>J259+K259+L259+M259+N259+O259</f>
        <v>330846</v>
      </c>
      <c r="Q259" s="76">
        <v>2021</v>
      </c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</row>
    <row r="260" spans="1:28" s="120" customFormat="1" ht="12.75">
      <c r="A260" s="26" t="s">
        <v>259</v>
      </c>
      <c r="B260" s="29">
        <v>1</v>
      </c>
      <c r="C260" s="29">
        <v>2</v>
      </c>
      <c r="D260" s="29">
        <v>3</v>
      </c>
      <c r="E260" s="29">
        <v>0</v>
      </c>
      <c r="F260" s="29">
        <v>0</v>
      </c>
      <c r="G260" s="29">
        <v>3</v>
      </c>
      <c r="H260" s="19" t="s">
        <v>261</v>
      </c>
      <c r="I260" s="29" t="s">
        <v>260</v>
      </c>
      <c r="J260" s="18">
        <f aca="true" t="shared" si="66" ref="J260:O260">J268+J278+J285+J290+J297+J308</f>
        <v>23312.6</v>
      </c>
      <c r="K260" s="18">
        <f t="shared" si="66"/>
        <v>74309.3</v>
      </c>
      <c r="L260" s="159">
        <f>L268+L278+L285+L290+L297+L308</f>
        <v>136758.6</v>
      </c>
      <c r="M260" s="98">
        <f>M268+M278+M285+M290+M297+M308</f>
        <v>29082.6</v>
      </c>
      <c r="N260" s="98">
        <f>N268+N278+N285+N290+N297+N308</f>
        <v>30121.9</v>
      </c>
      <c r="O260" s="18">
        <f t="shared" si="66"/>
        <v>25610</v>
      </c>
      <c r="P260" s="63">
        <f>J260+K260+L260+M260+N260+O260</f>
        <v>319195</v>
      </c>
      <c r="Q260" s="29">
        <v>2021</v>
      </c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</row>
    <row r="261" spans="1:28" s="120" customFormat="1" ht="12.75">
      <c r="A261" s="26" t="s">
        <v>259</v>
      </c>
      <c r="B261" s="29">
        <v>1</v>
      </c>
      <c r="C261" s="29">
        <v>2</v>
      </c>
      <c r="D261" s="29">
        <v>3</v>
      </c>
      <c r="E261" s="29">
        <v>0</v>
      </c>
      <c r="F261" s="29">
        <v>0</v>
      </c>
      <c r="G261" s="29">
        <v>2</v>
      </c>
      <c r="H261" s="19" t="s">
        <v>262</v>
      </c>
      <c r="I261" s="29" t="s">
        <v>260</v>
      </c>
      <c r="J261" s="18">
        <f aca="true" t="shared" si="67" ref="J261:O261">J269+J279+J286+J298+J309</f>
        <v>5966.4</v>
      </c>
      <c r="K261" s="18">
        <f t="shared" si="67"/>
        <v>2050.1</v>
      </c>
      <c r="L261" s="159">
        <f>L269+L279+L286+L298+L309</f>
        <v>2151.2</v>
      </c>
      <c r="M261" s="18">
        <f>M269+M279+M286+M298+M309</f>
        <v>0</v>
      </c>
      <c r="N261" s="18">
        <f>N269+N279+N286+N298+N309</f>
        <v>0</v>
      </c>
      <c r="O261" s="18">
        <f t="shared" si="67"/>
        <v>0</v>
      </c>
      <c r="P261" s="18">
        <f>J261+K261+L261+M261+N261+O261</f>
        <v>10167.7</v>
      </c>
      <c r="Q261" s="29">
        <v>2018</v>
      </c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</row>
    <row r="262" spans="1:28" s="120" customFormat="1" ht="12.75">
      <c r="A262" s="26" t="s">
        <v>259</v>
      </c>
      <c r="B262" s="29">
        <v>1</v>
      </c>
      <c r="C262" s="29">
        <v>2</v>
      </c>
      <c r="D262" s="29">
        <v>3</v>
      </c>
      <c r="E262" s="29">
        <v>0</v>
      </c>
      <c r="F262" s="29">
        <v>0</v>
      </c>
      <c r="G262" s="29">
        <v>1</v>
      </c>
      <c r="H262" s="19" t="s">
        <v>263</v>
      </c>
      <c r="I262" s="29" t="s">
        <v>260</v>
      </c>
      <c r="J262" s="18">
        <f>J280</f>
        <v>1483.3</v>
      </c>
      <c r="K262" s="18">
        <v>0</v>
      </c>
      <c r="L262" s="159">
        <v>0</v>
      </c>
      <c r="M262" s="98">
        <v>0</v>
      </c>
      <c r="N262" s="98">
        <v>0</v>
      </c>
      <c r="O262" s="18">
        <v>0</v>
      </c>
      <c r="P262" s="63">
        <f>J262+K262+L262+M262+N262+O262</f>
        <v>1483.3</v>
      </c>
      <c r="Q262" s="29">
        <v>2016</v>
      </c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</row>
    <row r="263" spans="1:17" ht="63.75">
      <c r="A263" s="26" t="s">
        <v>259</v>
      </c>
      <c r="B263" s="29">
        <v>1</v>
      </c>
      <c r="C263" s="29">
        <v>2</v>
      </c>
      <c r="D263" s="29">
        <v>3</v>
      </c>
      <c r="E263" s="29">
        <v>0</v>
      </c>
      <c r="F263" s="29">
        <v>0</v>
      </c>
      <c r="G263" s="5"/>
      <c r="H263" s="8" t="s">
        <v>338</v>
      </c>
      <c r="I263" s="5" t="s">
        <v>265</v>
      </c>
      <c r="J263" s="7">
        <v>67.6</v>
      </c>
      <c r="K263" s="7">
        <v>97</v>
      </c>
      <c r="L263" s="159">
        <v>94</v>
      </c>
      <c r="M263" s="62">
        <v>71.6</v>
      </c>
      <c r="N263" s="62">
        <v>79.1</v>
      </c>
      <c r="O263" s="7">
        <v>79.4</v>
      </c>
      <c r="P263" s="71">
        <v>79.4</v>
      </c>
      <c r="Q263" s="5">
        <v>2021</v>
      </c>
    </row>
    <row r="264" spans="1:17" ht="63.75">
      <c r="A264" s="26" t="s">
        <v>259</v>
      </c>
      <c r="B264" s="29">
        <v>1</v>
      </c>
      <c r="C264" s="29">
        <v>2</v>
      </c>
      <c r="D264" s="29">
        <v>3</v>
      </c>
      <c r="E264" s="29">
        <v>0</v>
      </c>
      <c r="F264" s="29">
        <v>0</v>
      </c>
      <c r="G264" s="5"/>
      <c r="H264" s="8" t="s">
        <v>339</v>
      </c>
      <c r="I264" s="5" t="s">
        <v>290</v>
      </c>
      <c r="J264" s="3">
        <v>46</v>
      </c>
      <c r="K264" s="3">
        <v>65</v>
      </c>
      <c r="L264" s="166">
        <v>63</v>
      </c>
      <c r="M264" s="60">
        <v>48</v>
      </c>
      <c r="N264" s="60">
        <v>53</v>
      </c>
      <c r="O264" s="3">
        <v>54</v>
      </c>
      <c r="P264" s="60">
        <v>65</v>
      </c>
      <c r="Q264" s="5">
        <v>2021</v>
      </c>
    </row>
    <row r="265" spans="1:17" ht="63.75">
      <c r="A265" s="81" t="s">
        <v>259</v>
      </c>
      <c r="B265" s="82">
        <v>1</v>
      </c>
      <c r="C265" s="82">
        <v>2</v>
      </c>
      <c r="D265" s="82">
        <v>3</v>
      </c>
      <c r="E265" s="82">
        <v>0</v>
      </c>
      <c r="F265" s="82">
        <v>1</v>
      </c>
      <c r="G265" s="92"/>
      <c r="H265" s="93" t="s">
        <v>237</v>
      </c>
      <c r="I265" s="92" t="s">
        <v>275</v>
      </c>
      <c r="J265" s="94" t="s">
        <v>276</v>
      </c>
      <c r="K265" s="94" t="s">
        <v>276</v>
      </c>
      <c r="L265" s="186" t="s">
        <v>276</v>
      </c>
      <c r="M265" s="94" t="s">
        <v>276</v>
      </c>
      <c r="N265" s="94" t="s">
        <v>276</v>
      </c>
      <c r="O265" s="94" t="s">
        <v>276</v>
      </c>
      <c r="P265" s="94" t="s">
        <v>276</v>
      </c>
      <c r="Q265" s="92">
        <v>2021</v>
      </c>
    </row>
    <row r="266" spans="1:17" ht="63.75">
      <c r="A266" s="26" t="s">
        <v>259</v>
      </c>
      <c r="B266" s="29">
        <v>1</v>
      </c>
      <c r="C266" s="29">
        <v>2</v>
      </c>
      <c r="D266" s="29">
        <v>3</v>
      </c>
      <c r="E266" s="29">
        <v>0</v>
      </c>
      <c r="F266" s="29">
        <v>1</v>
      </c>
      <c r="G266" s="34"/>
      <c r="H266" s="9" t="s">
        <v>72</v>
      </c>
      <c r="I266" s="5" t="s">
        <v>290</v>
      </c>
      <c r="J266" s="3">
        <v>1</v>
      </c>
      <c r="K266" s="3">
        <v>1</v>
      </c>
      <c r="L266" s="163">
        <v>1</v>
      </c>
      <c r="M266" s="60">
        <v>1</v>
      </c>
      <c r="N266" s="60">
        <v>1</v>
      </c>
      <c r="O266" s="3">
        <v>1</v>
      </c>
      <c r="P266" s="3">
        <f aca="true" t="shared" si="68" ref="P266:P310">SUM(J266:O266)</f>
        <v>6</v>
      </c>
      <c r="Q266" s="5">
        <v>2021</v>
      </c>
    </row>
    <row r="267" spans="1:28" s="120" customFormat="1" ht="51">
      <c r="A267" s="81" t="s">
        <v>259</v>
      </c>
      <c r="B267" s="82">
        <v>1</v>
      </c>
      <c r="C267" s="82">
        <v>2</v>
      </c>
      <c r="D267" s="82">
        <v>3</v>
      </c>
      <c r="E267" s="82">
        <v>0</v>
      </c>
      <c r="F267" s="82">
        <v>2</v>
      </c>
      <c r="G267" s="82"/>
      <c r="H267" s="86" t="s">
        <v>238</v>
      </c>
      <c r="I267" s="82" t="s">
        <v>260</v>
      </c>
      <c r="J267" s="85">
        <f aca="true" t="shared" si="69" ref="J267:O267">J268+J269</f>
        <v>22780.6</v>
      </c>
      <c r="K267" s="85">
        <f t="shared" si="69"/>
        <v>33103.1</v>
      </c>
      <c r="L267" s="185">
        <f>L268+L269</f>
        <v>69658.2</v>
      </c>
      <c r="M267" s="85">
        <f>M268+M269</f>
        <v>6461</v>
      </c>
      <c r="N267" s="85">
        <f>N268+N269</f>
        <v>8311</v>
      </c>
      <c r="O267" s="85">
        <f t="shared" si="69"/>
        <v>7100</v>
      </c>
      <c r="P267" s="85">
        <f t="shared" si="68"/>
        <v>147413.9</v>
      </c>
      <c r="Q267" s="82">
        <v>2021</v>
      </c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</row>
    <row r="268" spans="1:28" s="120" customFormat="1" ht="12.75">
      <c r="A268" s="26" t="s">
        <v>259</v>
      </c>
      <c r="B268" s="29">
        <v>1</v>
      </c>
      <c r="C268" s="29">
        <v>2</v>
      </c>
      <c r="D268" s="29">
        <v>3</v>
      </c>
      <c r="E268" s="29">
        <v>0</v>
      </c>
      <c r="F268" s="29">
        <v>2</v>
      </c>
      <c r="G268" s="29">
        <v>3</v>
      </c>
      <c r="H268" s="19" t="s">
        <v>261</v>
      </c>
      <c r="I268" s="29" t="s">
        <v>260</v>
      </c>
      <c r="J268" s="18">
        <f>16330.7+375+375.2</f>
        <v>17080.9</v>
      </c>
      <c r="K268" s="63">
        <v>32043.1</v>
      </c>
      <c r="L268" s="159">
        <f>69658.2-1401.6</f>
        <v>68256.6</v>
      </c>
      <c r="M268" s="63">
        <v>6461</v>
      </c>
      <c r="N268" s="63">
        <v>8311</v>
      </c>
      <c r="O268" s="18">
        <f>1500+3200+1800+600</f>
        <v>7100</v>
      </c>
      <c r="P268" s="18">
        <f t="shared" si="68"/>
        <v>139252.6</v>
      </c>
      <c r="Q268" s="29">
        <v>2021</v>
      </c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</row>
    <row r="269" spans="1:28" s="120" customFormat="1" ht="12.75">
      <c r="A269" s="26" t="s">
        <v>259</v>
      </c>
      <c r="B269" s="29">
        <v>1</v>
      </c>
      <c r="C269" s="29">
        <v>2</v>
      </c>
      <c r="D269" s="29">
        <v>3</v>
      </c>
      <c r="E269" s="29">
        <v>0</v>
      </c>
      <c r="F269" s="29">
        <v>2</v>
      </c>
      <c r="G269" s="29">
        <v>2</v>
      </c>
      <c r="H269" s="19" t="s">
        <v>262</v>
      </c>
      <c r="I269" s="29" t="s">
        <v>260</v>
      </c>
      <c r="J269" s="18">
        <f>5000+699.7</f>
        <v>5699.7</v>
      </c>
      <c r="K269" s="63">
        <v>1060</v>
      </c>
      <c r="L269" s="159">
        <v>1401.6</v>
      </c>
      <c r="M269" s="63">
        <v>0</v>
      </c>
      <c r="N269" s="63">
        <v>0</v>
      </c>
      <c r="O269" s="18">
        <v>0</v>
      </c>
      <c r="P269" s="18">
        <f t="shared" si="68"/>
        <v>8161.3</v>
      </c>
      <c r="Q269" s="29">
        <v>2018</v>
      </c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</row>
    <row r="270" spans="1:17" ht="25.5">
      <c r="A270" s="26" t="s">
        <v>259</v>
      </c>
      <c r="B270" s="29">
        <v>1</v>
      </c>
      <c r="C270" s="29">
        <v>2</v>
      </c>
      <c r="D270" s="29">
        <v>3</v>
      </c>
      <c r="E270" s="29">
        <v>0</v>
      </c>
      <c r="F270" s="29">
        <v>2</v>
      </c>
      <c r="G270" s="5"/>
      <c r="H270" s="9" t="s">
        <v>340</v>
      </c>
      <c r="I270" s="5" t="s">
        <v>325</v>
      </c>
      <c r="J270" s="7">
        <f>340+2065</f>
        <v>2405</v>
      </c>
      <c r="K270" s="7">
        <v>314</v>
      </c>
      <c r="L270" s="161">
        <v>1359.2</v>
      </c>
      <c r="M270" s="62">
        <v>25</v>
      </c>
      <c r="N270" s="62">
        <v>25</v>
      </c>
      <c r="O270" s="7">
        <v>700</v>
      </c>
      <c r="P270" s="7">
        <f t="shared" si="68"/>
        <v>4828.2</v>
      </c>
      <c r="Q270" s="5">
        <v>2021</v>
      </c>
    </row>
    <row r="271" spans="1:17" ht="25.5">
      <c r="A271" s="26" t="s">
        <v>259</v>
      </c>
      <c r="B271" s="29">
        <v>1</v>
      </c>
      <c r="C271" s="29">
        <v>2</v>
      </c>
      <c r="D271" s="29">
        <v>3</v>
      </c>
      <c r="E271" s="29">
        <v>0</v>
      </c>
      <c r="F271" s="29">
        <v>2</v>
      </c>
      <c r="G271" s="5"/>
      <c r="H271" s="9" t="s">
        <v>341</v>
      </c>
      <c r="I271" s="5" t="s">
        <v>325</v>
      </c>
      <c r="J271" s="7">
        <v>4714</v>
      </c>
      <c r="K271" s="7">
        <v>7987.3</v>
      </c>
      <c r="L271" s="161">
        <v>21518.9</v>
      </c>
      <c r="M271" s="62">
        <v>312.5</v>
      </c>
      <c r="N271" s="62">
        <v>791.7</v>
      </c>
      <c r="O271" s="7">
        <v>1000</v>
      </c>
      <c r="P271" s="7">
        <f t="shared" si="68"/>
        <v>36324.4</v>
      </c>
      <c r="Q271" s="5">
        <v>2021</v>
      </c>
    </row>
    <row r="272" spans="1:17" ht="25.5">
      <c r="A272" s="26" t="s">
        <v>259</v>
      </c>
      <c r="B272" s="29">
        <v>1</v>
      </c>
      <c r="C272" s="29">
        <v>2</v>
      </c>
      <c r="D272" s="29">
        <v>3</v>
      </c>
      <c r="E272" s="29">
        <v>0</v>
      </c>
      <c r="F272" s="29">
        <v>2</v>
      </c>
      <c r="G272" s="5"/>
      <c r="H272" s="9" t="s">
        <v>342</v>
      </c>
      <c r="I272" s="5" t="s">
        <v>325</v>
      </c>
      <c r="J272" s="7">
        <v>3816</v>
      </c>
      <c r="K272" s="7">
        <v>2775</v>
      </c>
      <c r="L272" s="161">
        <v>1598.7</v>
      </c>
      <c r="M272" s="62">
        <v>368</v>
      </c>
      <c r="N272" s="62">
        <v>588.6</v>
      </c>
      <c r="O272" s="7">
        <v>760</v>
      </c>
      <c r="P272" s="7">
        <f t="shared" si="68"/>
        <v>9906.3</v>
      </c>
      <c r="Q272" s="5">
        <v>2021</v>
      </c>
    </row>
    <row r="273" spans="1:17" ht="34.5" customHeight="1">
      <c r="A273" s="26" t="s">
        <v>259</v>
      </c>
      <c r="B273" s="29">
        <v>1</v>
      </c>
      <c r="C273" s="29">
        <v>2</v>
      </c>
      <c r="D273" s="29">
        <v>3</v>
      </c>
      <c r="E273" s="29">
        <v>0</v>
      </c>
      <c r="F273" s="29">
        <v>2</v>
      </c>
      <c r="G273" s="5"/>
      <c r="H273" s="9" t="s">
        <v>343</v>
      </c>
      <c r="I273" s="5" t="s">
        <v>290</v>
      </c>
      <c r="J273" s="3">
        <v>5</v>
      </c>
      <c r="K273" s="3">
        <v>26</v>
      </c>
      <c r="L273" s="163">
        <v>27</v>
      </c>
      <c r="M273" s="60">
        <v>5</v>
      </c>
      <c r="N273" s="60">
        <v>6</v>
      </c>
      <c r="O273" s="3">
        <v>6</v>
      </c>
      <c r="P273" s="3">
        <f t="shared" si="68"/>
        <v>75</v>
      </c>
      <c r="Q273" s="5">
        <v>2021</v>
      </c>
    </row>
    <row r="274" spans="1:17" ht="25.5">
      <c r="A274" s="26" t="s">
        <v>259</v>
      </c>
      <c r="B274" s="29">
        <v>1</v>
      </c>
      <c r="C274" s="29">
        <v>2</v>
      </c>
      <c r="D274" s="29">
        <v>3</v>
      </c>
      <c r="E274" s="29">
        <v>0</v>
      </c>
      <c r="F274" s="29">
        <v>2</v>
      </c>
      <c r="G274" s="5"/>
      <c r="H274" s="9" t="s">
        <v>344</v>
      </c>
      <c r="I274" s="5" t="s">
        <v>345</v>
      </c>
      <c r="J274" s="7">
        <v>320</v>
      </c>
      <c r="K274" s="7">
        <v>540</v>
      </c>
      <c r="L274" s="163">
        <v>600</v>
      </c>
      <c r="M274" s="62">
        <v>0</v>
      </c>
      <c r="N274" s="62">
        <v>0</v>
      </c>
      <c r="O274" s="7">
        <v>0</v>
      </c>
      <c r="P274" s="7">
        <f t="shared" si="68"/>
        <v>1460</v>
      </c>
      <c r="Q274" s="5">
        <v>2018</v>
      </c>
    </row>
    <row r="275" spans="1:17" ht="38.25">
      <c r="A275" s="26" t="s">
        <v>259</v>
      </c>
      <c r="B275" s="29">
        <v>1</v>
      </c>
      <c r="C275" s="29">
        <v>2</v>
      </c>
      <c r="D275" s="29">
        <v>3</v>
      </c>
      <c r="E275" s="29">
        <v>0</v>
      </c>
      <c r="F275" s="29">
        <v>2</v>
      </c>
      <c r="G275" s="5"/>
      <c r="H275" s="8" t="s">
        <v>348</v>
      </c>
      <c r="I275" s="5" t="s">
        <v>325</v>
      </c>
      <c r="J275" s="7">
        <v>16</v>
      </c>
      <c r="K275" s="7">
        <v>882.8</v>
      </c>
      <c r="L275" s="159">
        <f>2139.5+26.66</f>
        <v>2166.2</v>
      </c>
      <c r="M275" s="62">
        <v>425</v>
      </c>
      <c r="N275" s="62">
        <v>422.7</v>
      </c>
      <c r="O275" s="7">
        <v>0</v>
      </c>
      <c r="P275" s="7">
        <f t="shared" si="68"/>
        <v>3912.7</v>
      </c>
      <c r="Q275" s="5">
        <v>2020</v>
      </c>
    </row>
    <row r="276" spans="1:17" ht="38.25">
      <c r="A276" s="26" t="s">
        <v>259</v>
      </c>
      <c r="B276" s="29">
        <v>1</v>
      </c>
      <c r="C276" s="29">
        <v>2</v>
      </c>
      <c r="D276" s="29">
        <v>3</v>
      </c>
      <c r="E276" s="29">
        <v>0</v>
      </c>
      <c r="F276" s="29">
        <v>2</v>
      </c>
      <c r="G276" s="5"/>
      <c r="H276" s="8" t="s">
        <v>349</v>
      </c>
      <c r="I276" s="5" t="s">
        <v>325</v>
      </c>
      <c r="J276" s="7">
        <v>5</v>
      </c>
      <c r="K276" s="7">
        <v>26.6</v>
      </c>
      <c r="L276" s="161">
        <v>378.1</v>
      </c>
      <c r="M276" s="62">
        <v>0</v>
      </c>
      <c r="N276" s="62">
        <v>0</v>
      </c>
      <c r="O276" s="7">
        <v>0</v>
      </c>
      <c r="P276" s="7">
        <f t="shared" si="68"/>
        <v>409.7</v>
      </c>
      <c r="Q276" s="5">
        <v>2018</v>
      </c>
    </row>
    <row r="277" spans="1:28" s="120" customFormat="1" ht="38.25">
      <c r="A277" s="81" t="s">
        <v>259</v>
      </c>
      <c r="B277" s="82">
        <v>1</v>
      </c>
      <c r="C277" s="82">
        <v>2</v>
      </c>
      <c r="D277" s="82">
        <v>3</v>
      </c>
      <c r="E277" s="82">
        <v>0</v>
      </c>
      <c r="F277" s="82">
        <v>3</v>
      </c>
      <c r="G277" s="82"/>
      <c r="H277" s="86" t="s">
        <v>83</v>
      </c>
      <c r="I277" s="82" t="s">
        <v>260</v>
      </c>
      <c r="J277" s="85">
        <f>J278+J279+J280</f>
        <v>2684.1</v>
      </c>
      <c r="K277" s="85">
        <f>K278+K279</f>
        <v>16018.5</v>
      </c>
      <c r="L277" s="185">
        <f>L278+L279</f>
        <v>19000.9</v>
      </c>
      <c r="M277" s="85">
        <f>M278+M279</f>
        <v>11711.7</v>
      </c>
      <c r="N277" s="85">
        <f>N278+N279</f>
        <v>4000</v>
      </c>
      <c r="O277" s="85">
        <f>O278+O279</f>
        <v>5350</v>
      </c>
      <c r="P277" s="85">
        <f t="shared" si="68"/>
        <v>58765.2</v>
      </c>
      <c r="Q277" s="82">
        <v>2021</v>
      </c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</row>
    <row r="278" spans="1:28" s="120" customFormat="1" ht="18" customHeight="1">
      <c r="A278" s="26" t="s">
        <v>259</v>
      </c>
      <c r="B278" s="29">
        <v>1</v>
      </c>
      <c r="C278" s="29">
        <v>2</v>
      </c>
      <c r="D278" s="29">
        <v>3</v>
      </c>
      <c r="E278" s="29">
        <v>0</v>
      </c>
      <c r="F278" s="29">
        <v>3</v>
      </c>
      <c r="G278" s="29">
        <v>3</v>
      </c>
      <c r="H278" s="19" t="s">
        <v>261</v>
      </c>
      <c r="I278" s="29" t="s">
        <v>260</v>
      </c>
      <c r="J278" s="18">
        <f>287.5+877.6-231</f>
        <v>934.1</v>
      </c>
      <c r="K278" s="63">
        <v>16018.5</v>
      </c>
      <c r="L278" s="159">
        <f>19000.859-300</f>
        <v>18700.9</v>
      </c>
      <c r="M278" s="63">
        <v>11711.7</v>
      </c>
      <c r="N278" s="63">
        <v>4000</v>
      </c>
      <c r="O278" s="18">
        <f>2150+3200</f>
        <v>5350</v>
      </c>
      <c r="P278" s="127">
        <f t="shared" si="68"/>
        <v>56715.2</v>
      </c>
      <c r="Q278" s="29">
        <v>2021</v>
      </c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</row>
    <row r="279" spans="1:28" s="120" customFormat="1" ht="12.75">
      <c r="A279" s="26" t="s">
        <v>259</v>
      </c>
      <c r="B279" s="29">
        <v>1</v>
      </c>
      <c r="C279" s="29">
        <v>2</v>
      </c>
      <c r="D279" s="29">
        <v>3</v>
      </c>
      <c r="E279" s="29">
        <v>0</v>
      </c>
      <c r="F279" s="29">
        <v>3</v>
      </c>
      <c r="G279" s="29">
        <v>2</v>
      </c>
      <c r="H279" s="19" t="s">
        <v>262</v>
      </c>
      <c r="I279" s="29" t="s">
        <v>260</v>
      </c>
      <c r="J279" s="18">
        <v>266.7</v>
      </c>
      <c r="K279" s="63">
        <v>0</v>
      </c>
      <c r="L279" s="159">
        <v>300</v>
      </c>
      <c r="M279" s="63">
        <v>0</v>
      </c>
      <c r="N279" s="63">
        <v>0</v>
      </c>
      <c r="O279" s="18">
        <v>0</v>
      </c>
      <c r="P279" s="131">
        <f t="shared" si="68"/>
        <v>566.7</v>
      </c>
      <c r="Q279" s="29">
        <v>2016</v>
      </c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</row>
    <row r="280" spans="1:28" s="120" customFormat="1" ht="12.75">
      <c r="A280" s="26" t="s">
        <v>259</v>
      </c>
      <c r="B280" s="29">
        <v>1</v>
      </c>
      <c r="C280" s="29">
        <v>2</v>
      </c>
      <c r="D280" s="29">
        <v>3</v>
      </c>
      <c r="E280" s="29">
        <v>0</v>
      </c>
      <c r="F280" s="29">
        <v>3</v>
      </c>
      <c r="G280" s="29">
        <v>1</v>
      </c>
      <c r="H280" s="19" t="s">
        <v>263</v>
      </c>
      <c r="I280" s="29" t="s">
        <v>260</v>
      </c>
      <c r="J280" s="18">
        <v>1483.3</v>
      </c>
      <c r="K280" s="63">
        <v>0</v>
      </c>
      <c r="L280" s="159">
        <v>0</v>
      </c>
      <c r="M280" s="63">
        <v>0</v>
      </c>
      <c r="N280" s="63">
        <v>0</v>
      </c>
      <c r="O280" s="18">
        <v>0</v>
      </c>
      <c r="P280" s="127">
        <f t="shared" si="68"/>
        <v>1483.3</v>
      </c>
      <c r="Q280" s="29">
        <v>2016</v>
      </c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</row>
    <row r="281" spans="1:17" ht="38.25">
      <c r="A281" s="26" t="s">
        <v>259</v>
      </c>
      <c r="B281" s="29">
        <v>1</v>
      </c>
      <c r="C281" s="29">
        <v>2</v>
      </c>
      <c r="D281" s="29">
        <v>3</v>
      </c>
      <c r="E281" s="29">
        <v>0</v>
      </c>
      <c r="F281" s="29">
        <v>3</v>
      </c>
      <c r="G281" s="5"/>
      <c r="H281" s="9" t="s">
        <v>350</v>
      </c>
      <c r="I281" s="5" t="s">
        <v>290</v>
      </c>
      <c r="J281" s="3">
        <v>1</v>
      </c>
      <c r="K281" s="3">
        <v>5</v>
      </c>
      <c r="L281" s="163">
        <v>4</v>
      </c>
      <c r="M281" s="60">
        <v>4</v>
      </c>
      <c r="N281" s="60">
        <v>2</v>
      </c>
      <c r="O281" s="3">
        <v>1</v>
      </c>
      <c r="P281" s="1">
        <f t="shared" si="68"/>
        <v>17</v>
      </c>
      <c r="Q281" s="5">
        <v>2021</v>
      </c>
    </row>
    <row r="282" spans="1:17" ht="25.5">
      <c r="A282" s="26" t="s">
        <v>259</v>
      </c>
      <c r="B282" s="29">
        <v>1</v>
      </c>
      <c r="C282" s="29">
        <v>2</v>
      </c>
      <c r="D282" s="29">
        <v>3</v>
      </c>
      <c r="E282" s="29">
        <v>0</v>
      </c>
      <c r="F282" s="29">
        <v>3</v>
      </c>
      <c r="G282" s="5"/>
      <c r="H282" s="39" t="s">
        <v>172</v>
      </c>
      <c r="I282" s="5" t="s">
        <v>290</v>
      </c>
      <c r="J282" s="3">
        <v>1</v>
      </c>
      <c r="K282" s="3">
        <v>4</v>
      </c>
      <c r="L282" s="163">
        <v>5</v>
      </c>
      <c r="M282" s="60">
        <v>1</v>
      </c>
      <c r="N282" s="60">
        <v>2</v>
      </c>
      <c r="O282" s="3">
        <v>1</v>
      </c>
      <c r="P282" s="1">
        <f t="shared" si="68"/>
        <v>14</v>
      </c>
      <c r="Q282" s="5">
        <v>2021</v>
      </c>
    </row>
    <row r="283" spans="1:17" ht="38.25">
      <c r="A283" s="26" t="s">
        <v>259</v>
      </c>
      <c r="B283" s="29">
        <v>1</v>
      </c>
      <c r="C283" s="29">
        <v>2</v>
      </c>
      <c r="D283" s="29">
        <v>3</v>
      </c>
      <c r="E283" s="29">
        <v>0</v>
      </c>
      <c r="F283" s="29">
        <v>3</v>
      </c>
      <c r="G283" s="5"/>
      <c r="H283" s="39" t="s">
        <v>171</v>
      </c>
      <c r="I283" s="5" t="s">
        <v>290</v>
      </c>
      <c r="J283" s="3">
        <v>0</v>
      </c>
      <c r="K283" s="3">
        <v>4</v>
      </c>
      <c r="L283" s="163">
        <v>3</v>
      </c>
      <c r="M283" s="60">
        <v>1</v>
      </c>
      <c r="N283" s="60">
        <v>0</v>
      </c>
      <c r="O283" s="3">
        <v>0</v>
      </c>
      <c r="P283" s="1">
        <f t="shared" si="68"/>
        <v>8</v>
      </c>
      <c r="Q283" s="5">
        <v>2019</v>
      </c>
    </row>
    <row r="284" spans="1:28" s="120" customFormat="1" ht="51">
      <c r="A284" s="81" t="s">
        <v>259</v>
      </c>
      <c r="B284" s="82">
        <v>1</v>
      </c>
      <c r="C284" s="82">
        <v>2</v>
      </c>
      <c r="D284" s="82">
        <v>3</v>
      </c>
      <c r="E284" s="82">
        <v>0</v>
      </c>
      <c r="F284" s="82">
        <v>4</v>
      </c>
      <c r="G284" s="82"/>
      <c r="H284" s="86" t="s">
        <v>239</v>
      </c>
      <c r="I284" s="82" t="s">
        <v>260</v>
      </c>
      <c r="J284" s="85">
        <f aca="true" t="shared" si="70" ref="J284:O284">J285+J286</f>
        <v>0</v>
      </c>
      <c r="K284" s="85">
        <f t="shared" si="70"/>
        <v>1864</v>
      </c>
      <c r="L284" s="185">
        <f>L285+L286</f>
        <v>2235.5</v>
      </c>
      <c r="M284" s="85">
        <f>M285+M286</f>
        <v>764</v>
      </c>
      <c r="N284" s="85">
        <f>N285+N286</f>
        <v>764</v>
      </c>
      <c r="O284" s="85">
        <f t="shared" si="70"/>
        <v>400</v>
      </c>
      <c r="P284" s="85">
        <f t="shared" si="68"/>
        <v>6027.5</v>
      </c>
      <c r="Q284" s="82">
        <v>2021</v>
      </c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</row>
    <row r="285" spans="1:28" s="120" customFormat="1" ht="12.75">
      <c r="A285" s="26" t="s">
        <v>259</v>
      </c>
      <c r="B285" s="29">
        <v>1</v>
      </c>
      <c r="C285" s="29">
        <v>2</v>
      </c>
      <c r="D285" s="29">
        <v>3</v>
      </c>
      <c r="E285" s="29">
        <v>0</v>
      </c>
      <c r="F285" s="29">
        <v>4</v>
      </c>
      <c r="G285" s="29">
        <v>3</v>
      </c>
      <c r="H285" s="19" t="s">
        <v>261</v>
      </c>
      <c r="I285" s="29" t="s">
        <v>260</v>
      </c>
      <c r="J285" s="18">
        <v>0</v>
      </c>
      <c r="K285" s="63">
        <v>1464</v>
      </c>
      <c r="L285" s="159">
        <f>2235.545-299.6</f>
        <v>1935.9</v>
      </c>
      <c r="M285" s="63">
        <v>764</v>
      </c>
      <c r="N285" s="63">
        <v>764</v>
      </c>
      <c r="O285" s="18">
        <v>400</v>
      </c>
      <c r="P285" s="18">
        <f t="shared" si="68"/>
        <v>5327.9</v>
      </c>
      <c r="Q285" s="29">
        <v>2021</v>
      </c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</row>
    <row r="286" spans="1:28" s="120" customFormat="1" ht="12.75">
      <c r="A286" s="26" t="s">
        <v>259</v>
      </c>
      <c r="B286" s="29">
        <v>1</v>
      </c>
      <c r="C286" s="29">
        <v>2</v>
      </c>
      <c r="D286" s="29">
        <v>3</v>
      </c>
      <c r="E286" s="29">
        <v>0</v>
      </c>
      <c r="F286" s="29">
        <v>4</v>
      </c>
      <c r="G286" s="29">
        <v>2</v>
      </c>
      <c r="H286" s="19" t="s">
        <v>262</v>
      </c>
      <c r="I286" s="29" t="s">
        <v>260</v>
      </c>
      <c r="J286" s="18">
        <v>0</v>
      </c>
      <c r="K286" s="63">
        <v>400</v>
      </c>
      <c r="L286" s="159">
        <v>299.6</v>
      </c>
      <c r="M286" s="63">
        <v>0</v>
      </c>
      <c r="N286" s="63">
        <v>0</v>
      </c>
      <c r="O286" s="18">
        <v>0</v>
      </c>
      <c r="P286" s="18">
        <f t="shared" si="68"/>
        <v>699.6</v>
      </c>
      <c r="Q286" s="29">
        <v>2017</v>
      </c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</row>
    <row r="287" spans="1:17" ht="25.5">
      <c r="A287" s="26" t="s">
        <v>259</v>
      </c>
      <c r="B287" s="29">
        <v>1</v>
      </c>
      <c r="C287" s="29">
        <v>2</v>
      </c>
      <c r="D287" s="29">
        <v>3</v>
      </c>
      <c r="E287" s="29">
        <v>0</v>
      </c>
      <c r="F287" s="29">
        <v>4</v>
      </c>
      <c r="G287" s="5"/>
      <c r="H287" s="9" t="s">
        <v>351</v>
      </c>
      <c r="I287" s="5" t="s">
        <v>290</v>
      </c>
      <c r="J287" s="3">
        <v>0</v>
      </c>
      <c r="K287" s="3">
        <v>7</v>
      </c>
      <c r="L287" s="163">
        <v>8</v>
      </c>
      <c r="M287" s="60">
        <v>0</v>
      </c>
      <c r="N287" s="60">
        <v>0</v>
      </c>
      <c r="O287" s="3">
        <v>4</v>
      </c>
      <c r="P287" s="3">
        <f t="shared" si="68"/>
        <v>19</v>
      </c>
      <c r="Q287" s="5">
        <v>2021</v>
      </c>
    </row>
    <row r="288" spans="1:17" ht="25.5">
      <c r="A288" s="26" t="s">
        <v>259</v>
      </c>
      <c r="B288" s="29">
        <v>1</v>
      </c>
      <c r="C288" s="29">
        <v>2</v>
      </c>
      <c r="D288" s="29">
        <v>3</v>
      </c>
      <c r="E288" s="29">
        <v>0</v>
      </c>
      <c r="F288" s="29">
        <v>4</v>
      </c>
      <c r="G288" s="38"/>
      <c r="H288" s="39" t="s">
        <v>173</v>
      </c>
      <c r="I288" s="38" t="s">
        <v>290</v>
      </c>
      <c r="J288" s="13">
        <v>0</v>
      </c>
      <c r="K288" s="13">
        <v>7</v>
      </c>
      <c r="L288" s="165">
        <v>11</v>
      </c>
      <c r="M288" s="135">
        <v>5</v>
      </c>
      <c r="N288" s="135">
        <v>5</v>
      </c>
      <c r="O288" s="13">
        <v>1</v>
      </c>
      <c r="P288" s="3">
        <f t="shared" si="68"/>
        <v>29</v>
      </c>
      <c r="Q288" s="5">
        <v>2021</v>
      </c>
    </row>
    <row r="289" spans="1:28" s="120" customFormat="1" ht="51">
      <c r="A289" s="81" t="s">
        <v>259</v>
      </c>
      <c r="B289" s="82">
        <v>1</v>
      </c>
      <c r="C289" s="82">
        <v>2</v>
      </c>
      <c r="D289" s="82">
        <v>3</v>
      </c>
      <c r="E289" s="82">
        <v>0</v>
      </c>
      <c r="F289" s="82">
        <v>5</v>
      </c>
      <c r="G289" s="82"/>
      <c r="H289" s="86" t="s">
        <v>240</v>
      </c>
      <c r="I289" s="82" t="s">
        <v>260</v>
      </c>
      <c r="J289" s="85">
        <f aca="true" t="shared" si="71" ref="J289:O289">J290</f>
        <v>0</v>
      </c>
      <c r="K289" s="85">
        <f t="shared" si="71"/>
        <v>4730.5</v>
      </c>
      <c r="L289" s="185">
        <f t="shared" si="71"/>
        <v>7394.7</v>
      </c>
      <c r="M289" s="85">
        <f t="shared" si="71"/>
        <v>2500</v>
      </c>
      <c r="N289" s="85">
        <f t="shared" si="71"/>
        <v>2091.9</v>
      </c>
      <c r="O289" s="85">
        <f t="shared" si="71"/>
        <v>3760</v>
      </c>
      <c r="P289" s="85">
        <f t="shared" si="68"/>
        <v>20477.1</v>
      </c>
      <c r="Q289" s="82">
        <v>2021</v>
      </c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</row>
    <row r="290" spans="1:28" s="120" customFormat="1" ht="12.75">
      <c r="A290" s="26" t="s">
        <v>259</v>
      </c>
      <c r="B290" s="29">
        <v>1</v>
      </c>
      <c r="C290" s="29">
        <v>2</v>
      </c>
      <c r="D290" s="29">
        <v>3</v>
      </c>
      <c r="E290" s="29">
        <v>0</v>
      </c>
      <c r="F290" s="29">
        <v>5</v>
      </c>
      <c r="G290" s="29">
        <v>3</v>
      </c>
      <c r="H290" s="19" t="s">
        <v>261</v>
      </c>
      <c r="I290" s="29" t="s">
        <v>260</v>
      </c>
      <c r="J290" s="18">
        <v>0</v>
      </c>
      <c r="K290" s="63">
        <v>4730.5</v>
      </c>
      <c r="L290" s="159">
        <v>7394.7</v>
      </c>
      <c r="M290" s="63">
        <v>2500</v>
      </c>
      <c r="N290" s="63">
        <v>2091.9</v>
      </c>
      <c r="O290" s="18">
        <v>3760</v>
      </c>
      <c r="P290" s="18">
        <f t="shared" si="68"/>
        <v>20477.1</v>
      </c>
      <c r="Q290" s="29">
        <v>2021</v>
      </c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</row>
    <row r="291" spans="1:17" ht="38.25">
      <c r="A291" s="26" t="s">
        <v>259</v>
      </c>
      <c r="B291" s="29">
        <v>1</v>
      </c>
      <c r="C291" s="29">
        <v>2</v>
      </c>
      <c r="D291" s="29">
        <v>3</v>
      </c>
      <c r="E291" s="29">
        <v>0</v>
      </c>
      <c r="F291" s="29">
        <v>5</v>
      </c>
      <c r="G291" s="5"/>
      <c r="H291" s="9" t="s">
        <v>352</v>
      </c>
      <c r="I291" s="5" t="s">
        <v>290</v>
      </c>
      <c r="J291" s="3">
        <v>0</v>
      </c>
      <c r="K291" s="3">
        <v>0</v>
      </c>
      <c r="L291" s="163">
        <v>0</v>
      </c>
      <c r="M291" s="60">
        <v>0</v>
      </c>
      <c r="N291" s="60">
        <v>3</v>
      </c>
      <c r="O291" s="3">
        <v>8</v>
      </c>
      <c r="P291" s="3">
        <f t="shared" si="68"/>
        <v>11</v>
      </c>
      <c r="Q291" s="5">
        <v>2021</v>
      </c>
    </row>
    <row r="292" spans="1:17" ht="51">
      <c r="A292" s="26" t="s">
        <v>259</v>
      </c>
      <c r="B292" s="29">
        <v>1</v>
      </c>
      <c r="C292" s="29">
        <v>2</v>
      </c>
      <c r="D292" s="29">
        <v>3</v>
      </c>
      <c r="E292" s="29">
        <v>0</v>
      </c>
      <c r="F292" s="29">
        <v>5</v>
      </c>
      <c r="G292" s="5"/>
      <c r="H292" s="9" t="s">
        <v>353</v>
      </c>
      <c r="I292" s="5" t="s">
        <v>290</v>
      </c>
      <c r="J292" s="3">
        <v>0</v>
      </c>
      <c r="K292" s="3">
        <v>10</v>
      </c>
      <c r="L292" s="163">
        <v>10</v>
      </c>
      <c r="M292" s="60">
        <v>0</v>
      </c>
      <c r="N292" s="60">
        <v>3</v>
      </c>
      <c r="O292" s="3">
        <v>4</v>
      </c>
      <c r="P292" s="3">
        <f t="shared" si="68"/>
        <v>27</v>
      </c>
      <c r="Q292" s="5">
        <v>2021</v>
      </c>
    </row>
    <row r="293" spans="1:17" ht="51">
      <c r="A293" s="26" t="s">
        <v>259</v>
      </c>
      <c r="B293" s="29">
        <v>1</v>
      </c>
      <c r="C293" s="29">
        <v>2</v>
      </c>
      <c r="D293" s="29">
        <v>3</v>
      </c>
      <c r="E293" s="29">
        <v>0</v>
      </c>
      <c r="F293" s="29">
        <v>5</v>
      </c>
      <c r="G293" s="5"/>
      <c r="H293" s="9" t="s">
        <v>354</v>
      </c>
      <c r="I293" s="5" t="s">
        <v>290</v>
      </c>
      <c r="J293" s="3">
        <v>0</v>
      </c>
      <c r="K293" s="3">
        <v>12</v>
      </c>
      <c r="L293" s="163">
        <v>16</v>
      </c>
      <c r="M293" s="60">
        <v>25</v>
      </c>
      <c r="N293" s="60">
        <v>2</v>
      </c>
      <c r="O293" s="3">
        <v>20</v>
      </c>
      <c r="P293" s="3">
        <f t="shared" si="68"/>
        <v>75</v>
      </c>
      <c r="Q293" s="5">
        <v>2021</v>
      </c>
    </row>
    <row r="294" spans="1:17" ht="63.75">
      <c r="A294" s="26" t="s">
        <v>259</v>
      </c>
      <c r="B294" s="29">
        <v>1</v>
      </c>
      <c r="C294" s="29">
        <v>2</v>
      </c>
      <c r="D294" s="29">
        <v>3</v>
      </c>
      <c r="E294" s="29">
        <v>0</v>
      </c>
      <c r="F294" s="29">
        <v>5</v>
      </c>
      <c r="G294" s="5"/>
      <c r="H294" s="9" t="s">
        <v>355</v>
      </c>
      <c r="I294" s="5" t="s">
        <v>290</v>
      </c>
      <c r="J294" s="3">
        <v>0</v>
      </c>
      <c r="K294" s="3">
        <v>0</v>
      </c>
      <c r="L294" s="163">
        <v>1</v>
      </c>
      <c r="M294" s="60">
        <v>0</v>
      </c>
      <c r="N294" s="60">
        <v>3</v>
      </c>
      <c r="O294" s="3">
        <v>6</v>
      </c>
      <c r="P294" s="3">
        <f t="shared" si="68"/>
        <v>10</v>
      </c>
      <c r="Q294" s="5">
        <v>2021</v>
      </c>
    </row>
    <row r="295" spans="1:17" ht="25.5">
      <c r="A295" s="26" t="s">
        <v>259</v>
      </c>
      <c r="B295" s="29">
        <v>1</v>
      </c>
      <c r="C295" s="29">
        <v>2</v>
      </c>
      <c r="D295" s="29">
        <v>3</v>
      </c>
      <c r="E295" s="29">
        <v>0</v>
      </c>
      <c r="F295" s="29">
        <v>5</v>
      </c>
      <c r="G295" s="5"/>
      <c r="H295" s="9" t="s">
        <v>356</v>
      </c>
      <c r="I295" s="5" t="s">
        <v>290</v>
      </c>
      <c r="J295" s="3">
        <v>0</v>
      </c>
      <c r="K295" s="3">
        <v>8</v>
      </c>
      <c r="L295" s="163">
        <v>13</v>
      </c>
      <c r="M295" s="60">
        <v>0</v>
      </c>
      <c r="N295" s="60">
        <v>2</v>
      </c>
      <c r="O295" s="3">
        <v>3</v>
      </c>
      <c r="P295" s="3">
        <f t="shared" si="68"/>
        <v>26</v>
      </c>
      <c r="Q295" s="5">
        <v>2021</v>
      </c>
    </row>
    <row r="296" spans="1:28" s="120" customFormat="1" ht="51">
      <c r="A296" s="81" t="s">
        <v>259</v>
      </c>
      <c r="B296" s="82">
        <v>1</v>
      </c>
      <c r="C296" s="82">
        <v>2</v>
      </c>
      <c r="D296" s="82">
        <v>3</v>
      </c>
      <c r="E296" s="82">
        <v>0</v>
      </c>
      <c r="F296" s="82">
        <v>6</v>
      </c>
      <c r="G296" s="82"/>
      <c r="H296" s="86" t="s">
        <v>241</v>
      </c>
      <c r="I296" s="82" t="s">
        <v>260</v>
      </c>
      <c r="J296" s="85">
        <f aca="true" t="shared" si="72" ref="J296:O296">J297+J298</f>
        <v>254.6</v>
      </c>
      <c r="K296" s="85">
        <f t="shared" si="72"/>
        <v>13185.2</v>
      </c>
      <c r="L296" s="185">
        <f>L297+L298</f>
        <v>7867.3</v>
      </c>
      <c r="M296" s="85">
        <f>M297+M298</f>
        <v>650</v>
      </c>
      <c r="N296" s="85">
        <f>N297+N298</f>
        <v>11105</v>
      </c>
      <c r="O296" s="85">
        <f t="shared" si="72"/>
        <v>9000</v>
      </c>
      <c r="P296" s="85">
        <f t="shared" si="68"/>
        <v>42062.1</v>
      </c>
      <c r="Q296" s="82">
        <v>2021</v>
      </c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</row>
    <row r="297" spans="1:28" s="120" customFormat="1" ht="12.75">
      <c r="A297" s="26" t="s">
        <v>259</v>
      </c>
      <c r="B297" s="29">
        <v>1</v>
      </c>
      <c r="C297" s="29">
        <v>2</v>
      </c>
      <c r="D297" s="29">
        <v>3</v>
      </c>
      <c r="E297" s="29">
        <v>0</v>
      </c>
      <c r="F297" s="29">
        <v>6</v>
      </c>
      <c r="G297" s="29">
        <v>3</v>
      </c>
      <c r="H297" s="19" t="s">
        <v>261</v>
      </c>
      <c r="I297" s="29" t="s">
        <v>260</v>
      </c>
      <c r="J297" s="18">
        <f>200+54.6</f>
        <v>254.6</v>
      </c>
      <c r="K297" s="63">
        <v>13095.1</v>
      </c>
      <c r="L297" s="159">
        <v>7867.3</v>
      </c>
      <c r="M297" s="63">
        <v>650</v>
      </c>
      <c r="N297" s="63">
        <v>11105</v>
      </c>
      <c r="O297" s="18">
        <v>9000</v>
      </c>
      <c r="P297" s="18">
        <f t="shared" si="68"/>
        <v>41972</v>
      </c>
      <c r="Q297" s="29">
        <v>2021</v>
      </c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</row>
    <row r="298" spans="1:28" s="120" customFormat="1" ht="12.75">
      <c r="A298" s="26" t="s">
        <v>259</v>
      </c>
      <c r="B298" s="29">
        <v>1</v>
      </c>
      <c r="C298" s="29">
        <v>2</v>
      </c>
      <c r="D298" s="29">
        <v>3</v>
      </c>
      <c r="E298" s="29">
        <v>0</v>
      </c>
      <c r="F298" s="29">
        <v>6</v>
      </c>
      <c r="G298" s="29">
        <v>2</v>
      </c>
      <c r="H298" s="19" t="s">
        <v>262</v>
      </c>
      <c r="I298" s="29" t="s">
        <v>260</v>
      </c>
      <c r="J298" s="18">
        <v>0</v>
      </c>
      <c r="K298" s="63">
        <v>90.1</v>
      </c>
      <c r="L298" s="159">
        <v>0</v>
      </c>
      <c r="M298" s="63">
        <v>0</v>
      </c>
      <c r="N298" s="63">
        <v>0</v>
      </c>
      <c r="O298" s="18">
        <v>0</v>
      </c>
      <c r="P298" s="18">
        <f t="shared" si="68"/>
        <v>90.1</v>
      </c>
      <c r="Q298" s="29">
        <v>2017</v>
      </c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</row>
    <row r="299" spans="1:17" ht="51">
      <c r="A299" s="26" t="s">
        <v>259</v>
      </c>
      <c r="B299" s="29">
        <v>1</v>
      </c>
      <c r="C299" s="29">
        <v>2</v>
      </c>
      <c r="D299" s="29">
        <v>3</v>
      </c>
      <c r="E299" s="29">
        <v>0</v>
      </c>
      <c r="F299" s="29">
        <v>6</v>
      </c>
      <c r="G299" s="5"/>
      <c r="H299" s="9" t="s">
        <v>373</v>
      </c>
      <c r="I299" s="5" t="s">
        <v>290</v>
      </c>
      <c r="J299" s="3">
        <v>0</v>
      </c>
      <c r="K299" s="3">
        <v>5</v>
      </c>
      <c r="L299" s="164">
        <v>2</v>
      </c>
      <c r="M299" s="60">
        <v>0</v>
      </c>
      <c r="N299" s="60">
        <v>4</v>
      </c>
      <c r="O299" s="3">
        <v>10</v>
      </c>
      <c r="P299" s="3">
        <f t="shared" si="68"/>
        <v>21</v>
      </c>
      <c r="Q299" s="5">
        <v>2021</v>
      </c>
    </row>
    <row r="300" spans="1:17" ht="51">
      <c r="A300" s="26" t="s">
        <v>259</v>
      </c>
      <c r="B300" s="29">
        <v>1</v>
      </c>
      <c r="C300" s="29">
        <v>2</v>
      </c>
      <c r="D300" s="29">
        <v>3</v>
      </c>
      <c r="E300" s="29">
        <v>0</v>
      </c>
      <c r="F300" s="29">
        <v>6</v>
      </c>
      <c r="G300" s="5"/>
      <c r="H300" s="9" t="s">
        <v>374</v>
      </c>
      <c r="I300" s="5" t="s">
        <v>290</v>
      </c>
      <c r="J300" s="1">
        <v>2</v>
      </c>
      <c r="K300" s="1">
        <v>9</v>
      </c>
      <c r="L300" s="164">
        <v>13</v>
      </c>
      <c r="M300" s="67">
        <v>2</v>
      </c>
      <c r="N300" s="67">
        <v>5</v>
      </c>
      <c r="O300" s="1">
        <v>4</v>
      </c>
      <c r="P300" s="3">
        <f t="shared" si="68"/>
        <v>35</v>
      </c>
      <c r="Q300" s="5">
        <v>2021</v>
      </c>
    </row>
    <row r="301" spans="1:17" ht="51">
      <c r="A301" s="26" t="s">
        <v>259</v>
      </c>
      <c r="B301" s="29">
        <v>1</v>
      </c>
      <c r="C301" s="29">
        <v>2</v>
      </c>
      <c r="D301" s="29">
        <v>3</v>
      </c>
      <c r="E301" s="29">
        <v>0</v>
      </c>
      <c r="F301" s="29">
        <v>6</v>
      </c>
      <c r="G301" s="5"/>
      <c r="H301" s="9" t="s">
        <v>375</v>
      </c>
      <c r="I301" s="5" t="s">
        <v>290</v>
      </c>
      <c r="J301" s="3">
        <v>0</v>
      </c>
      <c r="K301" s="3">
        <v>2</v>
      </c>
      <c r="L301" s="163">
        <v>1</v>
      </c>
      <c r="M301" s="60">
        <v>0</v>
      </c>
      <c r="N301" s="60">
        <v>0</v>
      </c>
      <c r="O301" s="3">
        <v>0</v>
      </c>
      <c r="P301" s="3">
        <f t="shared" si="68"/>
        <v>3</v>
      </c>
      <c r="Q301" s="5">
        <v>2018</v>
      </c>
    </row>
    <row r="302" spans="1:17" ht="38.25">
      <c r="A302" s="26" t="s">
        <v>259</v>
      </c>
      <c r="B302" s="29">
        <v>1</v>
      </c>
      <c r="C302" s="29">
        <v>2</v>
      </c>
      <c r="D302" s="29">
        <v>3</v>
      </c>
      <c r="E302" s="29">
        <v>0</v>
      </c>
      <c r="F302" s="29">
        <v>6</v>
      </c>
      <c r="G302" s="5"/>
      <c r="H302" s="9" t="s">
        <v>376</v>
      </c>
      <c r="I302" s="5" t="s">
        <v>290</v>
      </c>
      <c r="J302" s="3">
        <v>0</v>
      </c>
      <c r="K302" s="3">
        <v>44</v>
      </c>
      <c r="L302" s="163">
        <v>17</v>
      </c>
      <c r="M302" s="60">
        <v>0</v>
      </c>
      <c r="N302" s="60">
        <v>2</v>
      </c>
      <c r="O302" s="3">
        <v>2</v>
      </c>
      <c r="P302" s="3">
        <f t="shared" si="68"/>
        <v>65</v>
      </c>
      <c r="Q302" s="5">
        <v>2021</v>
      </c>
    </row>
    <row r="303" spans="1:17" ht="51">
      <c r="A303" s="26" t="s">
        <v>259</v>
      </c>
      <c r="B303" s="29">
        <v>1</v>
      </c>
      <c r="C303" s="29">
        <v>2</v>
      </c>
      <c r="D303" s="29">
        <v>3</v>
      </c>
      <c r="E303" s="29">
        <v>0</v>
      </c>
      <c r="F303" s="29">
        <v>6</v>
      </c>
      <c r="G303" s="5"/>
      <c r="H303" s="9" t="s">
        <v>377</v>
      </c>
      <c r="I303" s="5" t="s">
        <v>290</v>
      </c>
      <c r="J303" s="3">
        <v>0</v>
      </c>
      <c r="K303" s="3">
        <v>4</v>
      </c>
      <c r="L303" s="163">
        <v>7</v>
      </c>
      <c r="M303" s="60">
        <v>0</v>
      </c>
      <c r="N303" s="60">
        <v>2</v>
      </c>
      <c r="O303" s="3">
        <v>2</v>
      </c>
      <c r="P303" s="3">
        <f t="shared" si="68"/>
        <v>15</v>
      </c>
      <c r="Q303" s="5">
        <v>2021</v>
      </c>
    </row>
    <row r="304" spans="1:17" ht="38.25">
      <c r="A304" s="26" t="s">
        <v>259</v>
      </c>
      <c r="B304" s="29">
        <v>1</v>
      </c>
      <c r="C304" s="29">
        <v>2</v>
      </c>
      <c r="D304" s="29">
        <v>3</v>
      </c>
      <c r="E304" s="29">
        <v>0</v>
      </c>
      <c r="F304" s="29">
        <v>6</v>
      </c>
      <c r="G304" s="5"/>
      <c r="H304" s="9" t="s">
        <v>378</v>
      </c>
      <c r="I304" s="5" t="s">
        <v>290</v>
      </c>
      <c r="J304" s="3">
        <v>0</v>
      </c>
      <c r="K304" s="3">
        <v>1</v>
      </c>
      <c r="L304" s="163">
        <v>1</v>
      </c>
      <c r="M304" s="60">
        <v>1</v>
      </c>
      <c r="N304" s="60">
        <v>2</v>
      </c>
      <c r="O304" s="3">
        <v>0</v>
      </c>
      <c r="P304" s="3">
        <f t="shared" si="68"/>
        <v>5</v>
      </c>
      <c r="Q304" s="5">
        <v>2020</v>
      </c>
    </row>
    <row r="305" spans="1:17" ht="38.25">
      <c r="A305" s="26" t="s">
        <v>259</v>
      </c>
      <c r="B305" s="29">
        <v>1</v>
      </c>
      <c r="C305" s="29">
        <v>2</v>
      </c>
      <c r="D305" s="29">
        <v>3</v>
      </c>
      <c r="E305" s="29">
        <v>0</v>
      </c>
      <c r="F305" s="29">
        <v>6</v>
      </c>
      <c r="G305" s="5"/>
      <c r="H305" s="9" t="s">
        <v>379</v>
      </c>
      <c r="I305" s="5" t="s">
        <v>290</v>
      </c>
      <c r="J305" s="3">
        <v>0</v>
      </c>
      <c r="K305" s="3">
        <v>0</v>
      </c>
      <c r="L305" s="163">
        <v>6</v>
      </c>
      <c r="M305" s="60">
        <v>0</v>
      </c>
      <c r="N305" s="60">
        <v>2</v>
      </c>
      <c r="O305" s="3">
        <v>2</v>
      </c>
      <c r="P305" s="3">
        <f t="shared" si="68"/>
        <v>10</v>
      </c>
      <c r="Q305" s="5">
        <v>2021</v>
      </c>
    </row>
    <row r="306" spans="1:17" ht="38.25">
      <c r="A306" s="26" t="s">
        <v>259</v>
      </c>
      <c r="B306" s="29">
        <v>1</v>
      </c>
      <c r="C306" s="29">
        <v>2</v>
      </c>
      <c r="D306" s="29">
        <v>3</v>
      </c>
      <c r="E306" s="29">
        <v>0</v>
      </c>
      <c r="F306" s="29">
        <v>6</v>
      </c>
      <c r="G306" s="5"/>
      <c r="H306" s="9" t="s">
        <v>380</v>
      </c>
      <c r="I306" s="5" t="s">
        <v>290</v>
      </c>
      <c r="J306" s="3">
        <v>0</v>
      </c>
      <c r="K306" s="3">
        <v>0</v>
      </c>
      <c r="L306" s="163">
        <v>0</v>
      </c>
      <c r="M306" s="60">
        <v>0</v>
      </c>
      <c r="N306" s="60">
        <v>4</v>
      </c>
      <c r="O306" s="3">
        <v>2</v>
      </c>
      <c r="P306" s="3">
        <f t="shared" si="68"/>
        <v>6</v>
      </c>
      <c r="Q306" s="5">
        <v>2021</v>
      </c>
    </row>
    <row r="307" spans="1:17" ht="38.25">
      <c r="A307" s="81" t="s">
        <v>259</v>
      </c>
      <c r="B307" s="82">
        <v>1</v>
      </c>
      <c r="C307" s="82">
        <v>2</v>
      </c>
      <c r="D307" s="82">
        <v>3</v>
      </c>
      <c r="E307" s="82">
        <v>0</v>
      </c>
      <c r="F307" s="82">
        <v>7</v>
      </c>
      <c r="G307" s="83"/>
      <c r="H307" s="84" t="s">
        <v>242</v>
      </c>
      <c r="I307" s="83" t="s">
        <v>260</v>
      </c>
      <c r="J307" s="85">
        <f aca="true" t="shared" si="73" ref="J307:O307">J308+J309</f>
        <v>5043</v>
      </c>
      <c r="K307" s="85">
        <f t="shared" si="73"/>
        <v>7458.1</v>
      </c>
      <c r="L307" s="185">
        <f>L308+L309</f>
        <v>32753.2</v>
      </c>
      <c r="M307" s="85">
        <f>M308+M309</f>
        <v>6995.9</v>
      </c>
      <c r="N307" s="85">
        <f>N308+N309</f>
        <v>3850</v>
      </c>
      <c r="O307" s="85">
        <f t="shared" si="73"/>
        <v>0</v>
      </c>
      <c r="P307" s="85">
        <f t="shared" si="68"/>
        <v>56100.2</v>
      </c>
      <c r="Q307" s="82">
        <v>2020</v>
      </c>
    </row>
    <row r="308" spans="1:17" ht="12.75">
      <c r="A308" s="26" t="s">
        <v>259</v>
      </c>
      <c r="B308" s="29">
        <v>1</v>
      </c>
      <c r="C308" s="29">
        <v>2</v>
      </c>
      <c r="D308" s="29">
        <v>3</v>
      </c>
      <c r="E308" s="29">
        <v>0</v>
      </c>
      <c r="F308" s="29">
        <v>7</v>
      </c>
      <c r="G308" s="29">
        <v>3</v>
      </c>
      <c r="H308" s="19" t="s">
        <v>261</v>
      </c>
      <c r="I308" s="5" t="s">
        <v>260</v>
      </c>
      <c r="J308" s="7">
        <f>4060+100+70+537.7+275.3</f>
        <v>5043</v>
      </c>
      <c r="K308" s="62">
        <v>6958.1</v>
      </c>
      <c r="L308" s="159">
        <f>32753.248-150</f>
        <v>32603.2</v>
      </c>
      <c r="M308" s="63">
        <v>6995.9</v>
      </c>
      <c r="N308" s="63">
        <v>3850</v>
      </c>
      <c r="O308" s="7">
        <v>0</v>
      </c>
      <c r="P308" s="7">
        <f t="shared" si="68"/>
        <v>55450.2</v>
      </c>
      <c r="Q308" s="5">
        <v>2020</v>
      </c>
    </row>
    <row r="309" spans="1:17" ht="12.75">
      <c r="A309" s="26" t="s">
        <v>259</v>
      </c>
      <c r="B309" s="29">
        <v>1</v>
      </c>
      <c r="C309" s="29">
        <v>2</v>
      </c>
      <c r="D309" s="29">
        <v>3</v>
      </c>
      <c r="E309" s="29">
        <v>0</v>
      </c>
      <c r="F309" s="29">
        <v>7</v>
      </c>
      <c r="G309" s="29">
        <v>2</v>
      </c>
      <c r="H309" s="19" t="s">
        <v>262</v>
      </c>
      <c r="I309" s="5" t="s">
        <v>260</v>
      </c>
      <c r="J309" s="7">
        <v>0</v>
      </c>
      <c r="K309" s="62">
        <v>500</v>
      </c>
      <c r="L309" s="159">
        <v>150</v>
      </c>
      <c r="M309" s="63">
        <v>0</v>
      </c>
      <c r="N309" s="63">
        <v>0</v>
      </c>
      <c r="O309" s="7">
        <v>0</v>
      </c>
      <c r="P309" s="7">
        <f t="shared" si="68"/>
        <v>650</v>
      </c>
      <c r="Q309" s="5">
        <v>2017</v>
      </c>
    </row>
    <row r="310" spans="1:17" ht="38.25">
      <c r="A310" s="26" t="s">
        <v>259</v>
      </c>
      <c r="B310" s="29">
        <v>1</v>
      </c>
      <c r="C310" s="29">
        <v>2</v>
      </c>
      <c r="D310" s="29">
        <v>3</v>
      </c>
      <c r="E310" s="29">
        <v>0</v>
      </c>
      <c r="F310" s="29">
        <v>7</v>
      </c>
      <c r="G310" s="5"/>
      <c r="H310" s="9" t="s">
        <v>381</v>
      </c>
      <c r="I310" s="5" t="s">
        <v>325</v>
      </c>
      <c r="J310" s="7">
        <f>1270+40+46.9+89+147.3+191.4+96+80.7</f>
        <v>1961.3</v>
      </c>
      <c r="K310" s="62">
        <v>2452</v>
      </c>
      <c r="L310" s="161">
        <f>8178.7+0.5</f>
        <v>8179.2</v>
      </c>
      <c r="M310" s="62">
        <v>1970.7</v>
      </c>
      <c r="N310" s="62">
        <v>1069.4</v>
      </c>
      <c r="O310" s="7">
        <v>0</v>
      </c>
      <c r="P310" s="7">
        <f t="shared" si="68"/>
        <v>15632.6</v>
      </c>
      <c r="Q310" s="5">
        <v>2020</v>
      </c>
    </row>
    <row r="311" spans="1:28" s="120" customFormat="1" ht="45.75" customHeight="1">
      <c r="A311" s="73" t="s">
        <v>259</v>
      </c>
      <c r="B311" s="56">
        <v>1</v>
      </c>
      <c r="C311" s="56">
        <v>3</v>
      </c>
      <c r="D311" s="56">
        <v>0</v>
      </c>
      <c r="E311" s="56">
        <v>0</v>
      </c>
      <c r="F311" s="56">
        <v>0</v>
      </c>
      <c r="G311" s="56"/>
      <c r="H311" s="74" t="s">
        <v>128</v>
      </c>
      <c r="I311" s="56" t="s">
        <v>260</v>
      </c>
      <c r="J311" s="57">
        <f aca="true" t="shared" si="74" ref="J311:O311">J312+J313</f>
        <v>98867</v>
      </c>
      <c r="K311" s="57">
        <f t="shared" si="74"/>
        <v>102623.5</v>
      </c>
      <c r="L311" s="57">
        <f>L312+L313</f>
        <v>137472.9</v>
      </c>
      <c r="M311" s="57">
        <f>M312+M313</f>
        <v>118830.2</v>
      </c>
      <c r="N311" s="57">
        <f>N312+N313</f>
        <v>91934.5</v>
      </c>
      <c r="O311" s="57">
        <f t="shared" si="74"/>
        <v>97000.4</v>
      </c>
      <c r="P311" s="57">
        <f>J311+K311+L311+M311+N311+O311</f>
        <v>646728.5</v>
      </c>
      <c r="Q311" s="56">
        <v>2021</v>
      </c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</row>
    <row r="312" spans="1:28" s="120" customFormat="1" ht="12.75">
      <c r="A312" s="26" t="s">
        <v>259</v>
      </c>
      <c r="B312" s="29">
        <v>1</v>
      </c>
      <c r="C312" s="29">
        <v>3</v>
      </c>
      <c r="D312" s="29">
        <v>0</v>
      </c>
      <c r="E312" s="29">
        <v>0</v>
      </c>
      <c r="F312" s="29">
        <v>0</v>
      </c>
      <c r="G312" s="29">
        <v>3</v>
      </c>
      <c r="H312" s="19" t="s">
        <v>261</v>
      </c>
      <c r="I312" s="29" t="s">
        <v>260</v>
      </c>
      <c r="J312" s="18">
        <f>J315+J330+J344+J362+J374</f>
        <v>98867</v>
      </c>
      <c r="K312" s="18">
        <f>K315+K330+K344+K364+K379</f>
        <v>102432.2</v>
      </c>
      <c r="L312" s="148">
        <f>L315+L330+L344+L364+L379</f>
        <v>133585.7</v>
      </c>
      <c r="M312" s="63">
        <f>M315+M330+M344+M364+M379</f>
        <v>118830.2</v>
      </c>
      <c r="N312" s="98">
        <f>N315+N330+N344+N364+N379</f>
        <v>91934.5</v>
      </c>
      <c r="O312" s="18">
        <f>O315+O330+O344+O364+O379</f>
        <v>97000.4</v>
      </c>
      <c r="P312" s="63">
        <f>J312+K312+L312+M312+N312+O312</f>
        <v>642650</v>
      </c>
      <c r="Q312" s="41">
        <v>2021</v>
      </c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</row>
    <row r="313" spans="1:28" s="120" customFormat="1" ht="12.75">
      <c r="A313" s="26" t="s">
        <v>259</v>
      </c>
      <c r="B313" s="29">
        <v>1</v>
      </c>
      <c r="C313" s="29">
        <v>3</v>
      </c>
      <c r="D313" s="29">
        <v>0</v>
      </c>
      <c r="E313" s="29">
        <v>0</v>
      </c>
      <c r="F313" s="29">
        <v>0</v>
      </c>
      <c r="G313" s="29">
        <v>2</v>
      </c>
      <c r="H313" s="19" t="s">
        <v>262</v>
      </c>
      <c r="I313" s="29" t="s">
        <v>260</v>
      </c>
      <c r="J313" s="18">
        <f aca="true" t="shared" si="75" ref="J313:O313">J316+J331</f>
        <v>0</v>
      </c>
      <c r="K313" s="18">
        <f t="shared" si="75"/>
        <v>191.3</v>
      </c>
      <c r="L313" s="148">
        <f>L316+L331</f>
        <v>3887.2</v>
      </c>
      <c r="M313" s="18">
        <f>M316+M331</f>
        <v>0</v>
      </c>
      <c r="N313" s="18">
        <f>N316+N331</f>
        <v>0</v>
      </c>
      <c r="O313" s="18">
        <f t="shared" si="75"/>
        <v>0</v>
      </c>
      <c r="P313" s="63">
        <f>J313+K313+L313+M313+N313+O313</f>
        <v>4078.5</v>
      </c>
      <c r="Q313" s="29">
        <v>2018</v>
      </c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</row>
    <row r="314" spans="1:28" s="120" customFormat="1" ht="51">
      <c r="A314" s="75" t="s">
        <v>259</v>
      </c>
      <c r="B314" s="76">
        <v>1</v>
      </c>
      <c r="C314" s="76">
        <v>3</v>
      </c>
      <c r="D314" s="76">
        <v>1</v>
      </c>
      <c r="E314" s="76">
        <v>0</v>
      </c>
      <c r="F314" s="76">
        <v>0</v>
      </c>
      <c r="G314" s="76"/>
      <c r="H314" s="77" t="s">
        <v>382</v>
      </c>
      <c r="I314" s="76" t="s">
        <v>260</v>
      </c>
      <c r="J314" s="78">
        <f aca="true" t="shared" si="76" ref="J314:O314">J315+J316</f>
        <v>77831.5</v>
      </c>
      <c r="K314" s="78">
        <f t="shared" si="76"/>
        <v>71342</v>
      </c>
      <c r="L314" s="181">
        <f>L315+L316</f>
        <v>76243</v>
      </c>
      <c r="M314" s="78">
        <f>M315+M316</f>
        <v>83772.9</v>
      </c>
      <c r="N314" s="78">
        <f>N315+N316</f>
        <v>79514.9</v>
      </c>
      <c r="O314" s="78">
        <f t="shared" si="76"/>
        <v>83822.4</v>
      </c>
      <c r="P314" s="78">
        <f>J314+K314+L314+M314+N314+O314</f>
        <v>472526.7</v>
      </c>
      <c r="Q314" s="76">
        <v>2021</v>
      </c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</row>
    <row r="315" spans="1:28" s="120" customFormat="1" ht="12.75">
      <c r="A315" s="26" t="s">
        <v>259</v>
      </c>
      <c r="B315" s="29">
        <v>1</v>
      </c>
      <c r="C315" s="29">
        <v>3</v>
      </c>
      <c r="D315" s="29">
        <v>1</v>
      </c>
      <c r="E315" s="29">
        <v>0</v>
      </c>
      <c r="F315" s="29">
        <v>0</v>
      </c>
      <c r="G315" s="29">
        <v>3</v>
      </c>
      <c r="H315" s="19" t="s">
        <v>261</v>
      </c>
      <c r="I315" s="29" t="s">
        <v>260</v>
      </c>
      <c r="J315" s="18">
        <f aca="true" t="shared" si="77" ref="J315:O315">J322+J326</f>
        <v>77831.5</v>
      </c>
      <c r="K315" s="18">
        <f t="shared" si="77"/>
        <v>71342</v>
      </c>
      <c r="L315" s="148">
        <f t="shared" si="77"/>
        <v>72492.5</v>
      </c>
      <c r="M315" s="98">
        <f>M322+M326</f>
        <v>83772.9</v>
      </c>
      <c r="N315" s="98">
        <f>N322+N326</f>
        <v>79514.9</v>
      </c>
      <c r="O315" s="18">
        <f t="shared" si="77"/>
        <v>83822.4</v>
      </c>
      <c r="P315" s="63">
        <f>J315+K315+L315+M315+N315+O315</f>
        <v>468776.2</v>
      </c>
      <c r="Q315" s="29">
        <v>2021</v>
      </c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</row>
    <row r="316" spans="1:28" s="120" customFormat="1" ht="12.75">
      <c r="A316" s="26" t="s">
        <v>259</v>
      </c>
      <c r="B316" s="29">
        <v>1</v>
      </c>
      <c r="C316" s="29">
        <v>3</v>
      </c>
      <c r="D316" s="29">
        <v>1</v>
      </c>
      <c r="E316" s="29">
        <v>0</v>
      </c>
      <c r="F316" s="29">
        <v>0</v>
      </c>
      <c r="G316" s="29">
        <v>2</v>
      </c>
      <c r="H316" s="19" t="s">
        <v>262</v>
      </c>
      <c r="I316" s="29" t="s">
        <v>260</v>
      </c>
      <c r="J316" s="18">
        <f>J323+J327</f>
        <v>0</v>
      </c>
      <c r="K316" s="18">
        <f aca="true" t="shared" si="78" ref="K316:P316">K323+K327</f>
        <v>0</v>
      </c>
      <c r="L316" s="148">
        <f t="shared" si="78"/>
        <v>3750.5</v>
      </c>
      <c r="M316" s="18">
        <f>M323+M327</f>
        <v>0</v>
      </c>
      <c r="N316" s="18">
        <f>N323+N327</f>
        <v>0</v>
      </c>
      <c r="O316" s="18">
        <f t="shared" si="78"/>
        <v>0</v>
      </c>
      <c r="P316" s="18">
        <f t="shared" si="78"/>
        <v>3750.5</v>
      </c>
      <c r="Q316" s="29">
        <v>2018</v>
      </c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</row>
    <row r="317" spans="1:17" ht="63.75">
      <c r="A317" s="26" t="s">
        <v>259</v>
      </c>
      <c r="B317" s="29">
        <v>1</v>
      </c>
      <c r="C317" s="29">
        <v>3</v>
      </c>
      <c r="D317" s="29">
        <v>1</v>
      </c>
      <c r="E317" s="29">
        <v>0</v>
      </c>
      <c r="F317" s="29">
        <v>0</v>
      </c>
      <c r="G317" s="5"/>
      <c r="H317" s="8" t="s">
        <v>383</v>
      </c>
      <c r="I317" s="5" t="s">
        <v>265</v>
      </c>
      <c r="J317" s="7">
        <v>100</v>
      </c>
      <c r="K317" s="7">
        <v>100</v>
      </c>
      <c r="L317" s="150">
        <v>100</v>
      </c>
      <c r="M317" s="62">
        <v>100</v>
      </c>
      <c r="N317" s="62">
        <v>100</v>
      </c>
      <c r="O317" s="7">
        <v>100</v>
      </c>
      <c r="P317" s="7">
        <v>100</v>
      </c>
      <c r="Q317" s="5">
        <v>2021</v>
      </c>
    </row>
    <row r="318" spans="1:17" ht="63.75">
      <c r="A318" s="26" t="s">
        <v>259</v>
      </c>
      <c r="B318" s="29">
        <v>1</v>
      </c>
      <c r="C318" s="29">
        <v>3</v>
      </c>
      <c r="D318" s="29">
        <v>1</v>
      </c>
      <c r="E318" s="29">
        <v>0</v>
      </c>
      <c r="F318" s="29">
        <v>0</v>
      </c>
      <c r="G318" s="34"/>
      <c r="H318" s="35" t="s">
        <v>384</v>
      </c>
      <c r="I318" s="34" t="s">
        <v>265</v>
      </c>
      <c r="J318" s="36">
        <v>98</v>
      </c>
      <c r="K318" s="36">
        <v>99</v>
      </c>
      <c r="L318" s="167">
        <v>100</v>
      </c>
      <c r="M318" s="136">
        <v>100</v>
      </c>
      <c r="N318" s="136">
        <v>100</v>
      </c>
      <c r="O318" s="36">
        <v>100</v>
      </c>
      <c r="P318" s="36">
        <v>100</v>
      </c>
      <c r="Q318" s="34">
        <v>2021</v>
      </c>
    </row>
    <row r="319" spans="1:17" ht="51">
      <c r="A319" s="81" t="s">
        <v>259</v>
      </c>
      <c r="B319" s="82">
        <v>1</v>
      </c>
      <c r="C319" s="82">
        <v>3</v>
      </c>
      <c r="D319" s="82">
        <v>1</v>
      </c>
      <c r="E319" s="82">
        <v>0</v>
      </c>
      <c r="F319" s="82">
        <v>1</v>
      </c>
      <c r="G319" s="83"/>
      <c r="H319" s="86" t="s">
        <v>145</v>
      </c>
      <c r="I319" s="83" t="s">
        <v>275</v>
      </c>
      <c r="J319" s="91" t="s">
        <v>276</v>
      </c>
      <c r="K319" s="91" t="s">
        <v>276</v>
      </c>
      <c r="L319" s="187" t="s">
        <v>276</v>
      </c>
      <c r="M319" s="91" t="s">
        <v>276</v>
      </c>
      <c r="N319" s="91" t="s">
        <v>276</v>
      </c>
      <c r="O319" s="91" t="s">
        <v>276</v>
      </c>
      <c r="P319" s="91" t="s">
        <v>276</v>
      </c>
      <c r="Q319" s="82">
        <v>2021</v>
      </c>
    </row>
    <row r="320" spans="1:17" ht="38.25">
      <c r="A320" s="26" t="s">
        <v>259</v>
      </c>
      <c r="B320" s="29">
        <v>1</v>
      </c>
      <c r="C320" s="29">
        <v>3</v>
      </c>
      <c r="D320" s="29">
        <v>1</v>
      </c>
      <c r="E320" s="29">
        <v>0</v>
      </c>
      <c r="F320" s="29">
        <v>1</v>
      </c>
      <c r="G320" s="5"/>
      <c r="H320" s="8" t="s">
        <v>146</v>
      </c>
      <c r="I320" s="5" t="s">
        <v>265</v>
      </c>
      <c r="J320" s="7">
        <v>100</v>
      </c>
      <c r="K320" s="7">
        <v>100</v>
      </c>
      <c r="L320" s="150">
        <v>100</v>
      </c>
      <c r="M320" s="62">
        <v>100</v>
      </c>
      <c r="N320" s="62">
        <v>100</v>
      </c>
      <c r="O320" s="7">
        <v>100</v>
      </c>
      <c r="P320" s="69">
        <v>100</v>
      </c>
      <c r="Q320" s="5">
        <v>2021</v>
      </c>
    </row>
    <row r="321" spans="1:28" s="120" customFormat="1" ht="38.25">
      <c r="A321" s="81" t="s">
        <v>259</v>
      </c>
      <c r="B321" s="82">
        <v>1</v>
      </c>
      <c r="C321" s="82">
        <v>3</v>
      </c>
      <c r="D321" s="82">
        <v>1</v>
      </c>
      <c r="E321" s="82">
        <v>0</v>
      </c>
      <c r="F321" s="82">
        <v>2</v>
      </c>
      <c r="G321" s="82"/>
      <c r="H321" s="86" t="s">
        <v>370</v>
      </c>
      <c r="I321" s="82" t="s">
        <v>260</v>
      </c>
      <c r="J321" s="85">
        <f aca="true" t="shared" si="79" ref="J321:O321">J322+J323</f>
        <v>72039.1</v>
      </c>
      <c r="K321" s="85">
        <f t="shared" si="79"/>
        <v>64992.6</v>
      </c>
      <c r="L321" s="180">
        <f>L322+L323</f>
        <v>71562.7</v>
      </c>
      <c r="M321" s="85">
        <f>M322+M323</f>
        <v>78682.6</v>
      </c>
      <c r="N321" s="85">
        <f>N322+N323</f>
        <v>74368.6</v>
      </c>
      <c r="O321" s="85">
        <f t="shared" si="79"/>
        <v>76942</v>
      </c>
      <c r="P321" s="85">
        <f>SUM(J321:O321)</f>
        <v>438587.6</v>
      </c>
      <c r="Q321" s="82">
        <v>2021</v>
      </c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</row>
    <row r="322" spans="1:28" s="120" customFormat="1" ht="12.75">
      <c r="A322" s="26" t="s">
        <v>259</v>
      </c>
      <c r="B322" s="29">
        <v>1</v>
      </c>
      <c r="C322" s="29">
        <v>3</v>
      </c>
      <c r="D322" s="29">
        <v>1</v>
      </c>
      <c r="E322" s="29">
        <v>0</v>
      </c>
      <c r="F322" s="29">
        <v>2</v>
      </c>
      <c r="G322" s="29">
        <v>3</v>
      </c>
      <c r="H322" s="19" t="s">
        <v>261</v>
      </c>
      <c r="I322" s="29" t="s">
        <v>260</v>
      </c>
      <c r="J322" s="18">
        <f>69439.1-0.1+4910-2309.9</f>
        <v>72039.1</v>
      </c>
      <c r="K322" s="63">
        <f>72121.9-7129.3</f>
        <v>64992.6</v>
      </c>
      <c r="L322" s="148">
        <v>67917.1</v>
      </c>
      <c r="M322" s="63">
        <v>78682.6</v>
      </c>
      <c r="N322" s="63">
        <v>74368.6</v>
      </c>
      <c r="O322" s="18">
        <v>76942</v>
      </c>
      <c r="P322" s="18">
        <f>SUM(J322:O322)</f>
        <v>434942</v>
      </c>
      <c r="Q322" s="29">
        <v>2021</v>
      </c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</row>
    <row r="323" spans="1:28" s="120" customFormat="1" ht="12.75">
      <c r="A323" s="26" t="s">
        <v>259</v>
      </c>
      <c r="B323" s="29">
        <v>1</v>
      </c>
      <c r="C323" s="29">
        <v>3</v>
      </c>
      <c r="D323" s="29">
        <v>1</v>
      </c>
      <c r="E323" s="29">
        <v>0</v>
      </c>
      <c r="F323" s="29">
        <v>2</v>
      </c>
      <c r="G323" s="29">
        <v>2</v>
      </c>
      <c r="H323" s="19" t="s">
        <v>262</v>
      </c>
      <c r="I323" s="29" t="s">
        <v>260</v>
      </c>
      <c r="J323" s="18">
        <v>0</v>
      </c>
      <c r="K323" s="63">
        <v>0</v>
      </c>
      <c r="L323" s="148">
        <v>3645.6</v>
      </c>
      <c r="M323" s="63">
        <v>0</v>
      </c>
      <c r="N323" s="63">
        <v>0</v>
      </c>
      <c r="O323" s="18">
        <v>0</v>
      </c>
      <c r="P323" s="18">
        <f>SUM(J323:O323)</f>
        <v>3645.6</v>
      </c>
      <c r="Q323" s="29">
        <v>2018</v>
      </c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</row>
    <row r="324" spans="1:17" ht="25.5">
      <c r="A324" s="26" t="s">
        <v>259</v>
      </c>
      <c r="B324" s="29">
        <v>1</v>
      </c>
      <c r="C324" s="29">
        <v>3</v>
      </c>
      <c r="D324" s="29">
        <v>1</v>
      </c>
      <c r="E324" s="29">
        <v>0</v>
      </c>
      <c r="F324" s="29">
        <v>2</v>
      </c>
      <c r="G324" s="5"/>
      <c r="H324" s="8" t="s">
        <v>385</v>
      </c>
      <c r="I324" s="64" t="s">
        <v>90</v>
      </c>
      <c r="J324" s="7">
        <v>387730.8</v>
      </c>
      <c r="K324" s="62">
        <f>387730.8-827.8</f>
        <v>386903</v>
      </c>
      <c r="L324" s="150">
        <v>386903</v>
      </c>
      <c r="M324" s="62">
        <v>386903</v>
      </c>
      <c r="N324" s="62">
        <v>386903</v>
      </c>
      <c r="O324" s="7">
        <v>386903</v>
      </c>
      <c r="P324" s="7">
        <v>386903</v>
      </c>
      <c r="Q324" s="5">
        <v>2021</v>
      </c>
    </row>
    <row r="325" spans="1:28" s="120" customFormat="1" ht="63.75">
      <c r="A325" s="81" t="s">
        <v>259</v>
      </c>
      <c r="B325" s="82">
        <v>1</v>
      </c>
      <c r="C325" s="82">
        <v>3</v>
      </c>
      <c r="D325" s="82">
        <v>1</v>
      </c>
      <c r="E325" s="82">
        <v>0</v>
      </c>
      <c r="F325" s="82">
        <v>3</v>
      </c>
      <c r="G325" s="82"/>
      <c r="H325" s="86" t="s">
        <v>84</v>
      </c>
      <c r="I325" s="82" t="s">
        <v>260</v>
      </c>
      <c r="J325" s="85">
        <f aca="true" t="shared" si="80" ref="J325:O325">J326+J327</f>
        <v>5792.4</v>
      </c>
      <c r="K325" s="85">
        <f t="shared" si="80"/>
        <v>6349.4</v>
      </c>
      <c r="L325" s="180">
        <f>L326+L327</f>
        <v>4680.3</v>
      </c>
      <c r="M325" s="85">
        <f>M326+M327</f>
        <v>5090.3</v>
      </c>
      <c r="N325" s="85">
        <f>N326+N327</f>
        <v>5146.3</v>
      </c>
      <c r="O325" s="85">
        <f t="shared" si="80"/>
        <v>6880.4</v>
      </c>
      <c r="P325" s="85">
        <f>SUM(J325:O325)</f>
        <v>33939.1</v>
      </c>
      <c r="Q325" s="82">
        <v>2021</v>
      </c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</row>
    <row r="326" spans="1:28" s="120" customFormat="1" ht="12.75">
      <c r="A326" s="26" t="s">
        <v>259</v>
      </c>
      <c r="B326" s="29">
        <v>1</v>
      </c>
      <c r="C326" s="29">
        <v>3</v>
      </c>
      <c r="D326" s="29">
        <v>1</v>
      </c>
      <c r="E326" s="29">
        <v>0</v>
      </c>
      <c r="F326" s="29">
        <v>3</v>
      </c>
      <c r="G326" s="29">
        <v>3</v>
      </c>
      <c r="H326" s="19" t="s">
        <v>261</v>
      </c>
      <c r="I326" s="29" t="s">
        <v>260</v>
      </c>
      <c r="J326" s="18">
        <f>6353.8-561.4</f>
        <v>5792.4</v>
      </c>
      <c r="K326" s="63">
        <f>6651.5-245.8+0.1-56.4</f>
        <v>6349.4</v>
      </c>
      <c r="L326" s="148">
        <v>4575.4</v>
      </c>
      <c r="M326" s="63">
        <v>5090.3</v>
      </c>
      <c r="N326" s="63">
        <v>5146.3</v>
      </c>
      <c r="O326" s="63">
        <v>6880.4</v>
      </c>
      <c r="P326" s="18">
        <f>SUM(J326:O326)</f>
        <v>33834.2</v>
      </c>
      <c r="Q326" s="29">
        <v>2021</v>
      </c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</row>
    <row r="327" spans="1:28" s="120" customFormat="1" ht="12.75">
      <c r="A327" s="26" t="s">
        <v>259</v>
      </c>
      <c r="B327" s="29">
        <v>1</v>
      </c>
      <c r="C327" s="29">
        <v>3</v>
      </c>
      <c r="D327" s="29">
        <v>1</v>
      </c>
      <c r="E327" s="29">
        <v>0</v>
      </c>
      <c r="F327" s="29">
        <v>3</v>
      </c>
      <c r="G327" s="29">
        <v>2</v>
      </c>
      <c r="H327" s="19" t="s">
        <v>262</v>
      </c>
      <c r="I327" s="29" t="s">
        <v>260</v>
      </c>
      <c r="J327" s="18">
        <v>0</v>
      </c>
      <c r="K327" s="63">
        <v>0</v>
      </c>
      <c r="L327" s="148">
        <v>104.9</v>
      </c>
      <c r="M327" s="63">
        <v>0</v>
      </c>
      <c r="N327" s="63">
        <v>0</v>
      </c>
      <c r="O327" s="63">
        <v>0</v>
      </c>
      <c r="P327" s="18">
        <f>SUM(J327:O327)</f>
        <v>104.9</v>
      </c>
      <c r="Q327" s="29">
        <v>2018</v>
      </c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</row>
    <row r="328" spans="1:17" ht="76.5">
      <c r="A328" s="26" t="s">
        <v>259</v>
      </c>
      <c r="B328" s="29">
        <v>1</v>
      </c>
      <c r="C328" s="29">
        <v>3</v>
      </c>
      <c r="D328" s="29">
        <v>1</v>
      </c>
      <c r="E328" s="29">
        <v>0</v>
      </c>
      <c r="F328" s="29">
        <v>3</v>
      </c>
      <c r="G328" s="5"/>
      <c r="H328" s="70" t="s">
        <v>129</v>
      </c>
      <c r="I328" s="5" t="s">
        <v>265</v>
      </c>
      <c r="J328" s="4">
        <f>J326/J9*100</f>
        <v>0.5</v>
      </c>
      <c r="K328" s="71">
        <f>K326/K8*100</f>
        <v>0.2</v>
      </c>
      <c r="L328" s="168">
        <f>L326/L9*100</f>
        <v>0.3</v>
      </c>
      <c r="M328" s="71">
        <v>0.4</v>
      </c>
      <c r="N328" s="71">
        <v>0.4</v>
      </c>
      <c r="O328" s="71">
        <f>O326/O9*100</f>
        <v>0.5</v>
      </c>
      <c r="P328" s="71">
        <v>0.5</v>
      </c>
      <c r="Q328" s="5">
        <v>2021</v>
      </c>
    </row>
    <row r="329" spans="1:28" s="120" customFormat="1" ht="38.25">
      <c r="A329" s="75" t="s">
        <v>259</v>
      </c>
      <c r="B329" s="76">
        <v>1</v>
      </c>
      <c r="C329" s="76">
        <v>3</v>
      </c>
      <c r="D329" s="76">
        <v>2</v>
      </c>
      <c r="E329" s="76">
        <v>0</v>
      </c>
      <c r="F329" s="76">
        <v>0</v>
      </c>
      <c r="G329" s="76"/>
      <c r="H329" s="77" t="s">
        <v>387</v>
      </c>
      <c r="I329" s="76" t="s">
        <v>260</v>
      </c>
      <c r="J329" s="78">
        <f aca="true" t="shared" si="81" ref="J329:O329">J330+J331</f>
        <v>9327.7</v>
      </c>
      <c r="K329" s="78">
        <f t="shared" si="81"/>
        <v>9337.7</v>
      </c>
      <c r="L329" s="183">
        <f>L330+L331</f>
        <v>20921.8</v>
      </c>
      <c r="M329" s="78">
        <f>M330+M331</f>
        <v>4825</v>
      </c>
      <c r="N329" s="78">
        <f>N330+N331</f>
        <v>1400</v>
      </c>
      <c r="O329" s="78">
        <f t="shared" si="81"/>
        <v>2115</v>
      </c>
      <c r="P329" s="78">
        <f>J329+K329+L329+M329+N329+O329</f>
        <v>47927.2</v>
      </c>
      <c r="Q329" s="76">
        <v>2021</v>
      </c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</row>
    <row r="330" spans="1:28" s="120" customFormat="1" ht="12.75">
      <c r="A330" s="26" t="s">
        <v>259</v>
      </c>
      <c r="B330" s="29">
        <v>1</v>
      </c>
      <c r="C330" s="29">
        <v>3</v>
      </c>
      <c r="D330" s="29">
        <v>2</v>
      </c>
      <c r="E330" s="29">
        <v>0</v>
      </c>
      <c r="F330" s="29">
        <v>0</v>
      </c>
      <c r="G330" s="29">
        <v>3</v>
      </c>
      <c r="H330" s="19" t="s">
        <v>261</v>
      </c>
      <c r="I330" s="29" t="s">
        <v>260</v>
      </c>
      <c r="J330" s="18">
        <f aca="true" t="shared" si="82" ref="J330:O331">J337</f>
        <v>9327.7</v>
      </c>
      <c r="K330" s="63">
        <f t="shared" si="82"/>
        <v>9146.4</v>
      </c>
      <c r="L330" s="159">
        <f t="shared" si="82"/>
        <v>20785.1</v>
      </c>
      <c r="M330" s="98">
        <f t="shared" si="82"/>
        <v>4825</v>
      </c>
      <c r="N330" s="98">
        <f t="shared" si="82"/>
        <v>1400</v>
      </c>
      <c r="O330" s="63">
        <f t="shared" si="82"/>
        <v>2115</v>
      </c>
      <c r="P330" s="63">
        <f>J330+K330+L330+M330+N330+O330</f>
        <v>47599.2</v>
      </c>
      <c r="Q330" s="29">
        <v>2021</v>
      </c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</row>
    <row r="331" spans="1:28" s="120" customFormat="1" ht="12.75">
      <c r="A331" s="26" t="s">
        <v>259</v>
      </c>
      <c r="B331" s="29">
        <v>1</v>
      </c>
      <c r="C331" s="29">
        <v>3</v>
      </c>
      <c r="D331" s="29">
        <v>2</v>
      </c>
      <c r="E331" s="29">
        <v>0</v>
      </c>
      <c r="F331" s="29">
        <v>0</v>
      </c>
      <c r="G331" s="29">
        <v>2</v>
      </c>
      <c r="H331" s="19" t="s">
        <v>262</v>
      </c>
      <c r="I331" s="29" t="s">
        <v>260</v>
      </c>
      <c r="J331" s="18">
        <f t="shared" si="82"/>
        <v>0</v>
      </c>
      <c r="K331" s="63">
        <f t="shared" si="82"/>
        <v>191.3</v>
      </c>
      <c r="L331" s="159">
        <f t="shared" si="82"/>
        <v>136.7</v>
      </c>
      <c r="M331" s="98">
        <f t="shared" si="82"/>
        <v>0</v>
      </c>
      <c r="N331" s="98">
        <f t="shared" si="82"/>
        <v>0</v>
      </c>
      <c r="O331" s="63">
        <f t="shared" si="82"/>
        <v>0</v>
      </c>
      <c r="P331" s="63">
        <f>J331+K331+L331+M331+N331+O331</f>
        <v>328</v>
      </c>
      <c r="Q331" s="29">
        <v>2018</v>
      </c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</row>
    <row r="332" spans="1:17" ht="38.25">
      <c r="A332" s="26" t="s">
        <v>259</v>
      </c>
      <c r="B332" s="29">
        <v>1</v>
      </c>
      <c r="C332" s="29">
        <v>3</v>
      </c>
      <c r="D332" s="29">
        <v>2</v>
      </c>
      <c r="E332" s="29">
        <v>0</v>
      </c>
      <c r="F332" s="29">
        <v>0</v>
      </c>
      <c r="G332" s="5"/>
      <c r="H332" s="8" t="s">
        <v>388</v>
      </c>
      <c r="I332" s="5" t="s">
        <v>265</v>
      </c>
      <c r="J332" s="7">
        <v>22.7</v>
      </c>
      <c r="K332" s="62">
        <v>23.9</v>
      </c>
      <c r="L332" s="148">
        <v>25</v>
      </c>
      <c r="M332" s="62">
        <v>44.3</v>
      </c>
      <c r="N332" s="62">
        <v>62.5</v>
      </c>
      <c r="O332" s="62">
        <v>86.4</v>
      </c>
      <c r="P332" s="71">
        <v>86.4</v>
      </c>
      <c r="Q332" s="5">
        <v>2021</v>
      </c>
    </row>
    <row r="333" spans="1:17" ht="38.25">
      <c r="A333" s="26" t="s">
        <v>259</v>
      </c>
      <c r="B333" s="29">
        <v>1</v>
      </c>
      <c r="C333" s="29">
        <v>3</v>
      </c>
      <c r="D333" s="29">
        <v>2</v>
      </c>
      <c r="E333" s="29">
        <v>0</v>
      </c>
      <c r="F333" s="29">
        <v>0</v>
      </c>
      <c r="G333" s="34"/>
      <c r="H333" s="35" t="s">
        <v>389</v>
      </c>
      <c r="I333" s="34" t="s">
        <v>290</v>
      </c>
      <c r="J333" s="16">
        <v>61</v>
      </c>
      <c r="K333" s="72">
        <v>46</v>
      </c>
      <c r="L333" s="169">
        <v>33</v>
      </c>
      <c r="M333" s="72">
        <v>19</v>
      </c>
      <c r="N333" s="72">
        <v>15</v>
      </c>
      <c r="O333" s="72">
        <v>21</v>
      </c>
      <c r="P333" s="72">
        <f>SUM(J333:O333)</f>
        <v>195</v>
      </c>
      <c r="Q333" s="34">
        <v>2021</v>
      </c>
    </row>
    <row r="334" spans="1:17" ht="51">
      <c r="A334" s="81" t="s">
        <v>259</v>
      </c>
      <c r="B334" s="82">
        <v>1</v>
      </c>
      <c r="C334" s="82">
        <v>3</v>
      </c>
      <c r="D334" s="82">
        <v>2</v>
      </c>
      <c r="E334" s="82">
        <v>0</v>
      </c>
      <c r="F334" s="82">
        <v>1</v>
      </c>
      <c r="G334" s="83"/>
      <c r="H334" s="84" t="s">
        <v>85</v>
      </c>
      <c r="I334" s="83" t="s">
        <v>275</v>
      </c>
      <c r="J334" s="85" t="s">
        <v>276</v>
      </c>
      <c r="K334" s="85" t="s">
        <v>276</v>
      </c>
      <c r="L334" s="180" t="s">
        <v>276</v>
      </c>
      <c r="M334" s="85" t="s">
        <v>276</v>
      </c>
      <c r="N334" s="85" t="s">
        <v>276</v>
      </c>
      <c r="O334" s="85" t="s">
        <v>276</v>
      </c>
      <c r="P334" s="85" t="s">
        <v>276</v>
      </c>
      <c r="Q334" s="82">
        <v>2021</v>
      </c>
    </row>
    <row r="335" spans="1:17" ht="63.75">
      <c r="A335" s="26" t="s">
        <v>259</v>
      </c>
      <c r="B335" s="29">
        <v>1</v>
      </c>
      <c r="C335" s="29">
        <v>3</v>
      </c>
      <c r="D335" s="29">
        <v>2</v>
      </c>
      <c r="E335" s="29">
        <v>0</v>
      </c>
      <c r="F335" s="29">
        <v>1</v>
      </c>
      <c r="G335" s="5"/>
      <c r="H335" s="8" t="s">
        <v>73</v>
      </c>
      <c r="I335" s="5" t="s">
        <v>290</v>
      </c>
      <c r="J335" s="3">
        <v>1</v>
      </c>
      <c r="K335" s="3">
        <v>1</v>
      </c>
      <c r="L335" s="157">
        <v>1</v>
      </c>
      <c r="M335" s="60">
        <v>1</v>
      </c>
      <c r="N335" s="60">
        <v>1</v>
      </c>
      <c r="O335" s="3">
        <v>1</v>
      </c>
      <c r="P335" s="3">
        <f aca="true" t="shared" si="83" ref="P335:P342">SUM(J335:O335)</f>
        <v>6</v>
      </c>
      <c r="Q335" s="5">
        <v>2021</v>
      </c>
    </row>
    <row r="336" spans="1:28" s="120" customFormat="1" ht="51">
      <c r="A336" s="81" t="s">
        <v>259</v>
      </c>
      <c r="B336" s="82">
        <v>1</v>
      </c>
      <c r="C336" s="82">
        <v>3</v>
      </c>
      <c r="D336" s="82">
        <v>2</v>
      </c>
      <c r="E336" s="82">
        <v>0</v>
      </c>
      <c r="F336" s="82">
        <v>2</v>
      </c>
      <c r="G336" s="82"/>
      <c r="H336" s="86" t="s">
        <v>32</v>
      </c>
      <c r="I336" s="123" t="s">
        <v>260</v>
      </c>
      <c r="J336" s="87">
        <f aca="true" t="shared" si="84" ref="J336:O336">J337+J338</f>
        <v>9327.7</v>
      </c>
      <c r="K336" s="87">
        <f t="shared" si="84"/>
        <v>9337.7</v>
      </c>
      <c r="L336" s="188">
        <f>L337+L338</f>
        <v>20921.8</v>
      </c>
      <c r="M336" s="87">
        <f>M337+M338</f>
        <v>4825</v>
      </c>
      <c r="N336" s="87">
        <f>N337+N338</f>
        <v>1400</v>
      </c>
      <c r="O336" s="87">
        <f t="shared" si="84"/>
        <v>2115</v>
      </c>
      <c r="P336" s="85">
        <f t="shared" si="83"/>
        <v>47927.2</v>
      </c>
      <c r="Q336" s="124">
        <v>2021</v>
      </c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</row>
    <row r="337" spans="1:28" s="120" customFormat="1" ht="12.75">
      <c r="A337" s="26" t="s">
        <v>259</v>
      </c>
      <c r="B337" s="29">
        <v>1</v>
      </c>
      <c r="C337" s="29">
        <v>3</v>
      </c>
      <c r="D337" s="29">
        <v>2</v>
      </c>
      <c r="E337" s="29">
        <v>0</v>
      </c>
      <c r="F337" s="29">
        <v>2</v>
      </c>
      <c r="G337" s="29">
        <v>3</v>
      </c>
      <c r="H337" s="19" t="s">
        <v>261</v>
      </c>
      <c r="I337" s="29" t="s">
        <v>260</v>
      </c>
      <c r="J337" s="18">
        <f>950+50+6500+499.9+1500-267.2+55+40</f>
        <v>9327.7</v>
      </c>
      <c r="K337" s="63">
        <v>9146.4</v>
      </c>
      <c r="L337" s="159">
        <f>20921.857-136.8</f>
        <v>20785.1</v>
      </c>
      <c r="M337" s="63">
        <v>4825</v>
      </c>
      <c r="N337" s="63">
        <v>1400</v>
      </c>
      <c r="O337" s="18">
        <f>390+875+850</f>
        <v>2115</v>
      </c>
      <c r="P337" s="18">
        <f t="shared" si="83"/>
        <v>47599.2</v>
      </c>
      <c r="Q337" s="29">
        <v>2021</v>
      </c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</row>
    <row r="338" spans="1:28" s="120" customFormat="1" ht="12.75">
      <c r="A338" s="26" t="s">
        <v>259</v>
      </c>
      <c r="B338" s="29">
        <v>1</v>
      </c>
      <c r="C338" s="29">
        <v>3</v>
      </c>
      <c r="D338" s="29">
        <v>2</v>
      </c>
      <c r="E338" s="29">
        <v>0</v>
      </c>
      <c r="F338" s="29">
        <v>2</v>
      </c>
      <c r="G338" s="29">
        <v>2</v>
      </c>
      <c r="H338" s="19" t="s">
        <v>262</v>
      </c>
      <c r="I338" s="29" t="s">
        <v>260</v>
      </c>
      <c r="J338" s="18">
        <v>0</v>
      </c>
      <c r="K338" s="63">
        <v>191.3</v>
      </c>
      <c r="L338" s="159">
        <v>136.7</v>
      </c>
      <c r="M338" s="63">
        <v>0</v>
      </c>
      <c r="N338" s="63">
        <v>0</v>
      </c>
      <c r="O338" s="18">
        <v>0</v>
      </c>
      <c r="P338" s="18">
        <f t="shared" si="83"/>
        <v>328</v>
      </c>
      <c r="Q338" s="29">
        <v>2018</v>
      </c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</row>
    <row r="339" spans="1:17" ht="25.5">
      <c r="A339" s="26" t="s">
        <v>259</v>
      </c>
      <c r="B339" s="29">
        <v>1</v>
      </c>
      <c r="C339" s="29">
        <v>3</v>
      </c>
      <c r="D339" s="29">
        <v>2</v>
      </c>
      <c r="E339" s="29">
        <v>0</v>
      </c>
      <c r="F339" s="29">
        <v>2</v>
      </c>
      <c r="G339" s="5"/>
      <c r="H339" s="8" t="s">
        <v>390</v>
      </c>
      <c r="I339" s="38" t="s">
        <v>290</v>
      </c>
      <c r="J339" s="14">
        <f>195+117</f>
        <v>312</v>
      </c>
      <c r="K339" s="14">
        <f>9+88</f>
        <v>97</v>
      </c>
      <c r="L339" s="162">
        <v>443</v>
      </c>
      <c r="M339" s="132">
        <v>186</v>
      </c>
      <c r="N339" s="132">
        <v>28</v>
      </c>
      <c r="O339" s="14">
        <v>35</v>
      </c>
      <c r="P339" s="3">
        <f t="shared" si="83"/>
        <v>1101</v>
      </c>
      <c r="Q339" s="40">
        <v>2021</v>
      </c>
    </row>
    <row r="340" spans="1:17" ht="51">
      <c r="A340" s="26" t="s">
        <v>259</v>
      </c>
      <c r="B340" s="29">
        <v>1</v>
      </c>
      <c r="C340" s="29">
        <v>3</v>
      </c>
      <c r="D340" s="29">
        <v>2</v>
      </c>
      <c r="E340" s="29">
        <v>0</v>
      </c>
      <c r="F340" s="29">
        <v>2</v>
      </c>
      <c r="G340" s="5"/>
      <c r="H340" s="8" t="s">
        <v>391</v>
      </c>
      <c r="I340" s="38" t="s">
        <v>290</v>
      </c>
      <c r="J340" s="14">
        <v>180</v>
      </c>
      <c r="K340" s="14">
        <v>12</v>
      </c>
      <c r="L340" s="162">
        <v>47</v>
      </c>
      <c r="M340" s="132">
        <v>2</v>
      </c>
      <c r="N340" s="132">
        <v>7</v>
      </c>
      <c r="O340" s="14">
        <v>11</v>
      </c>
      <c r="P340" s="3">
        <f t="shared" si="83"/>
        <v>259</v>
      </c>
      <c r="Q340" s="40">
        <v>2021</v>
      </c>
    </row>
    <row r="341" spans="1:17" ht="25.5">
      <c r="A341" s="26" t="s">
        <v>259</v>
      </c>
      <c r="B341" s="29">
        <v>1</v>
      </c>
      <c r="C341" s="29">
        <v>3</v>
      </c>
      <c r="D341" s="29">
        <v>2</v>
      </c>
      <c r="E341" s="29">
        <v>0</v>
      </c>
      <c r="F341" s="29">
        <v>2</v>
      </c>
      <c r="G341" s="5"/>
      <c r="H341" s="8" t="s">
        <v>392</v>
      </c>
      <c r="I341" s="38" t="s">
        <v>386</v>
      </c>
      <c r="J341" s="15">
        <f>3312+120</f>
        <v>3432</v>
      </c>
      <c r="K341" s="15">
        <v>2241.4</v>
      </c>
      <c r="L341" s="162">
        <f>412-20</f>
        <v>392</v>
      </c>
      <c r="M341" s="133">
        <v>500</v>
      </c>
      <c r="N341" s="133">
        <v>293</v>
      </c>
      <c r="O341" s="42">
        <v>515.2</v>
      </c>
      <c r="P341" s="7">
        <f t="shared" si="83"/>
        <v>7373.6</v>
      </c>
      <c r="Q341" s="40">
        <v>2021</v>
      </c>
    </row>
    <row r="342" spans="1:17" ht="25.5">
      <c r="A342" s="26" t="s">
        <v>259</v>
      </c>
      <c r="B342" s="29">
        <v>1</v>
      </c>
      <c r="C342" s="29">
        <v>3</v>
      </c>
      <c r="D342" s="29">
        <v>2</v>
      </c>
      <c r="E342" s="29">
        <v>0</v>
      </c>
      <c r="F342" s="29">
        <v>2</v>
      </c>
      <c r="G342" s="5"/>
      <c r="H342" s="8" t="s">
        <v>397</v>
      </c>
      <c r="I342" s="38" t="s">
        <v>386</v>
      </c>
      <c r="J342" s="15">
        <f>388+14.4</f>
        <v>402.4</v>
      </c>
      <c r="K342" s="15">
        <v>0</v>
      </c>
      <c r="L342" s="162">
        <v>1938</v>
      </c>
      <c r="M342" s="134">
        <v>0</v>
      </c>
      <c r="N342" s="134">
        <v>0</v>
      </c>
      <c r="O342" s="15">
        <v>0</v>
      </c>
      <c r="P342" s="7">
        <f t="shared" si="83"/>
        <v>2340.4</v>
      </c>
      <c r="Q342" s="40">
        <v>2018</v>
      </c>
    </row>
    <row r="343" spans="1:17" s="111" customFormat="1" ht="38.25">
      <c r="A343" s="75" t="s">
        <v>259</v>
      </c>
      <c r="B343" s="76">
        <v>1</v>
      </c>
      <c r="C343" s="76">
        <v>3</v>
      </c>
      <c r="D343" s="76">
        <v>3</v>
      </c>
      <c r="E343" s="76">
        <v>0</v>
      </c>
      <c r="F343" s="76">
        <v>0</v>
      </c>
      <c r="G343" s="76"/>
      <c r="H343" s="77" t="s">
        <v>398</v>
      </c>
      <c r="I343" s="76" t="s">
        <v>260</v>
      </c>
      <c r="J343" s="78">
        <f aca="true" t="shared" si="85" ref="J343:O343">J344</f>
        <v>11707.8</v>
      </c>
      <c r="K343" s="78">
        <f t="shared" si="85"/>
        <v>21865.7</v>
      </c>
      <c r="L343" s="181">
        <f>L344</f>
        <v>32914.3</v>
      </c>
      <c r="M343" s="78">
        <f t="shared" si="85"/>
        <v>15504</v>
      </c>
      <c r="N343" s="78">
        <f t="shared" si="85"/>
        <v>4464</v>
      </c>
      <c r="O343" s="78">
        <f t="shared" si="85"/>
        <v>1822</v>
      </c>
      <c r="P343" s="78">
        <f>J343+K343+L343+M343+N343+O343</f>
        <v>88277.8</v>
      </c>
      <c r="Q343" s="76">
        <v>2021</v>
      </c>
    </row>
    <row r="344" spans="1:17" s="111" customFormat="1" ht="12.75">
      <c r="A344" s="108" t="s">
        <v>259</v>
      </c>
      <c r="B344" s="109">
        <v>1</v>
      </c>
      <c r="C344" s="109">
        <v>3</v>
      </c>
      <c r="D344" s="109">
        <v>3</v>
      </c>
      <c r="E344" s="109">
        <v>0</v>
      </c>
      <c r="F344" s="109">
        <v>0</v>
      </c>
      <c r="G344" s="109">
        <v>3</v>
      </c>
      <c r="H344" s="115" t="s">
        <v>261</v>
      </c>
      <c r="I344" s="109" t="s">
        <v>260</v>
      </c>
      <c r="J344" s="63">
        <f aca="true" t="shared" si="86" ref="J344:O344">J354+J358</f>
        <v>11707.8</v>
      </c>
      <c r="K344" s="63">
        <f t="shared" si="86"/>
        <v>21865.7</v>
      </c>
      <c r="L344" s="148">
        <f>L354+L358</f>
        <v>32914.3</v>
      </c>
      <c r="M344" s="63">
        <f>M354+M358</f>
        <v>15504</v>
      </c>
      <c r="N344" s="63">
        <f>N354+N358</f>
        <v>4464</v>
      </c>
      <c r="O344" s="63">
        <f t="shared" si="86"/>
        <v>1822</v>
      </c>
      <c r="P344" s="63">
        <f>J344+K344+L344+M344+N344+O344</f>
        <v>88277.8</v>
      </c>
      <c r="Q344" s="109">
        <v>2021</v>
      </c>
    </row>
    <row r="345" spans="1:17" ht="63.75">
      <c r="A345" s="26" t="s">
        <v>259</v>
      </c>
      <c r="B345" s="29">
        <v>1</v>
      </c>
      <c r="C345" s="29">
        <v>3</v>
      </c>
      <c r="D345" s="29">
        <v>3</v>
      </c>
      <c r="E345" s="29">
        <v>0</v>
      </c>
      <c r="F345" s="29">
        <v>0</v>
      </c>
      <c r="G345" s="5"/>
      <c r="H345" s="8" t="s">
        <v>399</v>
      </c>
      <c r="I345" s="5" t="s">
        <v>265</v>
      </c>
      <c r="J345" s="7">
        <v>100</v>
      </c>
      <c r="K345" s="7">
        <v>93.5</v>
      </c>
      <c r="L345" s="170">
        <v>93.5</v>
      </c>
      <c r="M345" s="62">
        <v>93.5</v>
      </c>
      <c r="N345" s="62">
        <v>93.5</v>
      </c>
      <c r="O345" s="7">
        <v>94.4</v>
      </c>
      <c r="P345" s="7">
        <f aca="true" t="shared" si="87" ref="P345:P350">SUM(J345:O345)/6</f>
        <v>94.7</v>
      </c>
      <c r="Q345" s="5">
        <v>2021</v>
      </c>
    </row>
    <row r="346" spans="1:17" ht="63.75">
      <c r="A346" s="26" t="s">
        <v>259</v>
      </c>
      <c r="B346" s="29">
        <v>1</v>
      </c>
      <c r="C346" s="29">
        <v>3</v>
      </c>
      <c r="D346" s="29">
        <v>3</v>
      </c>
      <c r="E346" s="29">
        <v>0</v>
      </c>
      <c r="F346" s="29">
        <v>0</v>
      </c>
      <c r="G346" s="5"/>
      <c r="H346" s="8" t="s">
        <v>33</v>
      </c>
      <c r="I346" s="5" t="s">
        <v>265</v>
      </c>
      <c r="J346" s="7">
        <v>100</v>
      </c>
      <c r="K346" s="7">
        <v>96.3</v>
      </c>
      <c r="L346" s="170">
        <v>96.3</v>
      </c>
      <c r="M346" s="62">
        <v>96.3</v>
      </c>
      <c r="N346" s="62">
        <v>96.3</v>
      </c>
      <c r="O346" s="7">
        <v>97.2</v>
      </c>
      <c r="P346" s="7">
        <f t="shared" si="87"/>
        <v>97.1</v>
      </c>
      <c r="Q346" s="5">
        <v>2021</v>
      </c>
    </row>
    <row r="347" spans="1:17" ht="51">
      <c r="A347" s="26" t="s">
        <v>259</v>
      </c>
      <c r="B347" s="29">
        <v>1</v>
      </c>
      <c r="C347" s="29">
        <v>3</v>
      </c>
      <c r="D347" s="29">
        <v>3</v>
      </c>
      <c r="E347" s="29">
        <v>0</v>
      </c>
      <c r="F347" s="29">
        <v>0</v>
      </c>
      <c r="G347" s="5"/>
      <c r="H347" s="8" t="s">
        <v>400</v>
      </c>
      <c r="I347" s="5" t="s">
        <v>265</v>
      </c>
      <c r="J347" s="7">
        <v>100</v>
      </c>
      <c r="K347" s="62">
        <v>80.7</v>
      </c>
      <c r="L347" s="203">
        <v>83.1</v>
      </c>
      <c r="M347" s="62">
        <v>82.5</v>
      </c>
      <c r="N347" s="62">
        <v>82.5</v>
      </c>
      <c r="O347" s="62">
        <v>82.5</v>
      </c>
      <c r="P347" s="7">
        <f t="shared" si="87"/>
        <v>85.2</v>
      </c>
      <c r="Q347" s="5">
        <v>2021</v>
      </c>
    </row>
    <row r="348" spans="1:17" ht="140.25">
      <c r="A348" s="26" t="s">
        <v>259</v>
      </c>
      <c r="B348" s="29">
        <v>1</v>
      </c>
      <c r="C348" s="29">
        <v>3</v>
      </c>
      <c r="D348" s="29">
        <v>3</v>
      </c>
      <c r="E348" s="29">
        <v>0</v>
      </c>
      <c r="F348" s="29">
        <v>0</v>
      </c>
      <c r="G348" s="5"/>
      <c r="H348" s="8" t="s">
        <v>401</v>
      </c>
      <c r="I348" s="5" t="s">
        <v>265</v>
      </c>
      <c r="J348" s="7">
        <v>51.5</v>
      </c>
      <c r="K348" s="62">
        <v>36.7</v>
      </c>
      <c r="L348" s="203">
        <v>42.4</v>
      </c>
      <c r="M348" s="62">
        <v>56.1</v>
      </c>
      <c r="N348" s="62">
        <v>56.1</v>
      </c>
      <c r="O348" s="62">
        <v>56.1</v>
      </c>
      <c r="P348" s="7">
        <f t="shared" si="87"/>
        <v>49.8</v>
      </c>
      <c r="Q348" s="5">
        <v>2021</v>
      </c>
    </row>
    <row r="349" spans="1:17" ht="102" customHeight="1">
      <c r="A349" s="26" t="s">
        <v>259</v>
      </c>
      <c r="B349" s="29">
        <v>1</v>
      </c>
      <c r="C349" s="29">
        <v>3</v>
      </c>
      <c r="D349" s="29">
        <v>3</v>
      </c>
      <c r="E349" s="29">
        <v>0</v>
      </c>
      <c r="F349" s="29">
        <v>0</v>
      </c>
      <c r="G349" s="5"/>
      <c r="H349" s="8" t="s">
        <v>0</v>
      </c>
      <c r="I349" s="5" t="s">
        <v>265</v>
      </c>
      <c r="J349" s="7">
        <v>58.4</v>
      </c>
      <c r="K349" s="7">
        <v>18.5</v>
      </c>
      <c r="L349" s="170">
        <v>34.3</v>
      </c>
      <c r="M349" s="62">
        <v>31.5</v>
      </c>
      <c r="N349" s="62">
        <v>31.5</v>
      </c>
      <c r="O349" s="7">
        <v>31.5</v>
      </c>
      <c r="P349" s="7">
        <f t="shared" si="87"/>
        <v>34.3</v>
      </c>
      <c r="Q349" s="5">
        <v>2021</v>
      </c>
    </row>
    <row r="350" spans="1:17" ht="76.5">
      <c r="A350" s="26" t="s">
        <v>259</v>
      </c>
      <c r="B350" s="29">
        <v>1</v>
      </c>
      <c r="C350" s="29">
        <v>3</v>
      </c>
      <c r="D350" s="29">
        <v>3</v>
      </c>
      <c r="E350" s="29">
        <v>0</v>
      </c>
      <c r="F350" s="29">
        <v>0</v>
      </c>
      <c r="G350" s="5"/>
      <c r="H350" s="8" t="s">
        <v>393</v>
      </c>
      <c r="I350" s="5" t="s">
        <v>265</v>
      </c>
      <c r="J350" s="7">
        <v>0</v>
      </c>
      <c r="K350" s="7">
        <v>0</v>
      </c>
      <c r="L350" s="170">
        <v>100</v>
      </c>
      <c r="M350" s="62">
        <v>100</v>
      </c>
      <c r="N350" s="62">
        <v>100</v>
      </c>
      <c r="O350" s="7">
        <v>100</v>
      </c>
      <c r="P350" s="7">
        <f t="shared" si="87"/>
        <v>66.7</v>
      </c>
      <c r="Q350" s="5">
        <v>2021</v>
      </c>
    </row>
    <row r="351" spans="1:17" ht="63.75">
      <c r="A351" s="81" t="s">
        <v>259</v>
      </c>
      <c r="B351" s="82">
        <v>1</v>
      </c>
      <c r="C351" s="82">
        <v>3</v>
      </c>
      <c r="D351" s="82">
        <v>3</v>
      </c>
      <c r="E351" s="82">
        <v>0</v>
      </c>
      <c r="F351" s="82">
        <v>1</v>
      </c>
      <c r="G351" s="83"/>
      <c r="H351" s="84" t="s">
        <v>34</v>
      </c>
      <c r="I351" s="83" t="s">
        <v>275</v>
      </c>
      <c r="J351" s="85" t="s">
        <v>276</v>
      </c>
      <c r="K351" s="85" t="s">
        <v>276</v>
      </c>
      <c r="L351" s="180" t="s">
        <v>276</v>
      </c>
      <c r="M351" s="85" t="s">
        <v>276</v>
      </c>
      <c r="N351" s="85" t="s">
        <v>276</v>
      </c>
      <c r="O351" s="85" t="s">
        <v>276</v>
      </c>
      <c r="P351" s="85" t="s">
        <v>276</v>
      </c>
      <c r="Q351" s="82">
        <v>2021</v>
      </c>
    </row>
    <row r="352" spans="1:17" ht="25.5">
      <c r="A352" s="26" t="s">
        <v>259</v>
      </c>
      <c r="B352" s="29">
        <v>1</v>
      </c>
      <c r="C352" s="29">
        <v>3</v>
      </c>
      <c r="D352" s="29">
        <v>3</v>
      </c>
      <c r="E352" s="29">
        <v>0</v>
      </c>
      <c r="F352" s="29">
        <v>1</v>
      </c>
      <c r="G352" s="5"/>
      <c r="H352" s="8" t="s">
        <v>1</v>
      </c>
      <c r="I352" s="5" t="s">
        <v>290</v>
      </c>
      <c r="J352" s="3">
        <v>3</v>
      </c>
      <c r="K352" s="3">
        <v>3</v>
      </c>
      <c r="L352" s="171">
        <v>3</v>
      </c>
      <c r="M352" s="60">
        <v>3</v>
      </c>
      <c r="N352" s="60">
        <v>3</v>
      </c>
      <c r="O352" s="3">
        <v>3</v>
      </c>
      <c r="P352" s="3">
        <f>SUM(J352:O352)</f>
        <v>18</v>
      </c>
      <c r="Q352" s="5">
        <v>2021</v>
      </c>
    </row>
    <row r="353" spans="1:42" s="125" customFormat="1" ht="38.25">
      <c r="A353" s="81" t="s">
        <v>259</v>
      </c>
      <c r="B353" s="82">
        <v>1</v>
      </c>
      <c r="C353" s="82">
        <v>3</v>
      </c>
      <c r="D353" s="82">
        <v>3</v>
      </c>
      <c r="E353" s="82">
        <v>0</v>
      </c>
      <c r="F353" s="82">
        <v>2</v>
      </c>
      <c r="G353" s="82"/>
      <c r="H353" s="86" t="s">
        <v>244</v>
      </c>
      <c r="I353" s="123" t="s">
        <v>260</v>
      </c>
      <c r="J353" s="87">
        <f aca="true" t="shared" si="88" ref="J353:O353">J354</f>
        <v>1928.4</v>
      </c>
      <c r="K353" s="87">
        <f t="shared" si="88"/>
        <v>0</v>
      </c>
      <c r="L353" s="189">
        <f t="shared" si="88"/>
        <v>1850.7</v>
      </c>
      <c r="M353" s="87">
        <f t="shared" si="88"/>
        <v>1872</v>
      </c>
      <c r="N353" s="87">
        <f t="shared" si="88"/>
        <v>1872</v>
      </c>
      <c r="O353" s="87">
        <f t="shared" si="88"/>
        <v>1822</v>
      </c>
      <c r="P353" s="85">
        <f>SUM(J353:O353)</f>
        <v>9345.1</v>
      </c>
      <c r="Q353" s="124">
        <v>2021</v>
      </c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</row>
    <row r="354" spans="1:42" s="125" customFormat="1" ht="12.75">
      <c r="A354" s="26" t="s">
        <v>259</v>
      </c>
      <c r="B354" s="29">
        <v>1</v>
      </c>
      <c r="C354" s="29">
        <v>3</v>
      </c>
      <c r="D354" s="29">
        <v>3</v>
      </c>
      <c r="E354" s="29">
        <v>0</v>
      </c>
      <c r="F354" s="29">
        <v>2</v>
      </c>
      <c r="G354" s="29">
        <v>3</v>
      </c>
      <c r="H354" s="19" t="s">
        <v>261</v>
      </c>
      <c r="I354" s="29" t="s">
        <v>260</v>
      </c>
      <c r="J354" s="18">
        <f>1966.8-38.4</f>
        <v>1928.4</v>
      </c>
      <c r="K354" s="63">
        <v>0</v>
      </c>
      <c r="L354" s="148">
        <v>1850.7</v>
      </c>
      <c r="M354" s="63">
        <v>1872</v>
      </c>
      <c r="N354" s="63">
        <v>1872</v>
      </c>
      <c r="O354" s="18">
        <v>1822</v>
      </c>
      <c r="P354" s="18">
        <f>SUM(J354:O354)</f>
        <v>9345.1</v>
      </c>
      <c r="Q354" s="126">
        <v>2021</v>
      </c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</row>
    <row r="355" spans="1:17" ht="55.5" customHeight="1">
      <c r="A355" s="26" t="s">
        <v>259</v>
      </c>
      <c r="B355" s="29">
        <v>1</v>
      </c>
      <c r="C355" s="29">
        <v>3</v>
      </c>
      <c r="D355" s="29">
        <v>3</v>
      </c>
      <c r="E355" s="29">
        <v>0</v>
      </c>
      <c r="F355" s="29">
        <v>2</v>
      </c>
      <c r="G355" s="5"/>
      <c r="H355" s="9" t="s">
        <v>2</v>
      </c>
      <c r="I355" s="5" t="s">
        <v>290</v>
      </c>
      <c r="J355" s="3">
        <v>9</v>
      </c>
      <c r="K355" s="3">
        <v>0</v>
      </c>
      <c r="L355" s="171">
        <v>0</v>
      </c>
      <c r="M355" s="60">
        <v>0</v>
      </c>
      <c r="N355" s="60">
        <v>0</v>
      </c>
      <c r="O355" s="3">
        <v>1</v>
      </c>
      <c r="P355" s="3">
        <f>SUM(J355:O355)</f>
        <v>10</v>
      </c>
      <c r="Q355" s="5">
        <v>2021</v>
      </c>
    </row>
    <row r="356" spans="1:17" ht="51">
      <c r="A356" s="26" t="s">
        <v>259</v>
      </c>
      <c r="B356" s="29">
        <v>1</v>
      </c>
      <c r="C356" s="29">
        <v>3</v>
      </c>
      <c r="D356" s="29">
        <v>3</v>
      </c>
      <c r="E356" s="29">
        <v>0</v>
      </c>
      <c r="F356" s="29">
        <v>2</v>
      </c>
      <c r="G356" s="5"/>
      <c r="H356" s="9" t="s">
        <v>35</v>
      </c>
      <c r="I356" s="5" t="s">
        <v>290</v>
      </c>
      <c r="J356" s="3">
        <v>104</v>
      </c>
      <c r="K356" s="3">
        <v>104</v>
      </c>
      <c r="L356" s="171">
        <v>104</v>
      </c>
      <c r="M356" s="60">
        <v>104</v>
      </c>
      <c r="N356" s="60">
        <v>104</v>
      </c>
      <c r="O356" s="3">
        <v>105</v>
      </c>
      <c r="P356" s="3">
        <v>105</v>
      </c>
      <c r="Q356" s="5">
        <v>2021</v>
      </c>
    </row>
    <row r="357" spans="1:28" s="120" customFormat="1" ht="63.75">
      <c r="A357" s="81" t="s">
        <v>259</v>
      </c>
      <c r="B357" s="82">
        <v>1</v>
      </c>
      <c r="C357" s="82">
        <v>3</v>
      </c>
      <c r="D357" s="82">
        <v>3</v>
      </c>
      <c r="E357" s="82">
        <v>0</v>
      </c>
      <c r="F357" s="82">
        <v>3</v>
      </c>
      <c r="G357" s="82"/>
      <c r="H357" s="122" t="s">
        <v>86</v>
      </c>
      <c r="I357" s="82" t="s">
        <v>260</v>
      </c>
      <c r="J357" s="85">
        <f aca="true" t="shared" si="89" ref="J357:O357">J358</f>
        <v>9779.4</v>
      </c>
      <c r="K357" s="85">
        <f t="shared" si="89"/>
        <v>21865.7</v>
      </c>
      <c r="L357" s="180">
        <f t="shared" si="89"/>
        <v>31063.6</v>
      </c>
      <c r="M357" s="85">
        <f t="shared" si="89"/>
        <v>13632</v>
      </c>
      <c r="N357" s="85">
        <f t="shared" si="89"/>
        <v>2592</v>
      </c>
      <c r="O357" s="85">
        <f t="shared" si="89"/>
        <v>0</v>
      </c>
      <c r="P357" s="85">
        <f>SUM(J357:O357)</f>
        <v>78932.7</v>
      </c>
      <c r="Q357" s="82">
        <v>2020</v>
      </c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</row>
    <row r="358" spans="1:28" s="120" customFormat="1" ht="12.75">
      <c r="A358" s="26" t="s">
        <v>259</v>
      </c>
      <c r="B358" s="29">
        <v>1</v>
      </c>
      <c r="C358" s="29">
        <v>3</v>
      </c>
      <c r="D358" s="29">
        <v>3</v>
      </c>
      <c r="E358" s="29">
        <v>0</v>
      </c>
      <c r="F358" s="29">
        <v>3</v>
      </c>
      <c r="G358" s="29">
        <v>3</v>
      </c>
      <c r="H358" s="19" t="s">
        <v>261</v>
      </c>
      <c r="I358" s="29" t="s">
        <v>260</v>
      </c>
      <c r="J358" s="18">
        <f>9741+38.4</f>
        <v>9779.4</v>
      </c>
      <c r="K358" s="63">
        <f>21865.7</f>
        <v>21865.7</v>
      </c>
      <c r="L358" s="148">
        <f>30932.9+532.8-402.4-0.1+0.3+0.1</f>
        <v>31063.6</v>
      </c>
      <c r="M358" s="63">
        <v>13632</v>
      </c>
      <c r="N358" s="118">
        <v>2592</v>
      </c>
      <c r="O358" s="127">
        <v>0</v>
      </c>
      <c r="P358" s="18">
        <f>SUM(J358:O358)</f>
        <v>78932.7</v>
      </c>
      <c r="Q358" s="29">
        <v>2020</v>
      </c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</row>
    <row r="359" spans="1:17" ht="38.25">
      <c r="A359" s="26" t="s">
        <v>259</v>
      </c>
      <c r="B359" s="29">
        <v>1</v>
      </c>
      <c r="C359" s="29">
        <v>3</v>
      </c>
      <c r="D359" s="29">
        <v>3</v>
      </c>
      <c r="E359" s="29">
        <v>0</v>
      </c>
      <c r="F359" s="29">
        <v>3</v>
      </c>
      <c r="G359" s="5"/>
      <c r="H359" s="9" t="s">
        <v>3</v>
      </c>
      <c r="I359" s="5" t="s">
        <v>290</v>
      </c>
      <c r="J359" s="3">
        <v>15</v>
      </c>
      <c r="K359" s="60">
        <v>22</v>
      </c>
      <c r="L359" s="171">
        <v>26</v>
      </c>
      <c r="M359" s="60">
        <v>0</v>
      </c>
      <c r="N359" s="60">
        <v>0</v>
      </c>
      <c r="O359" s="3">
        <v>0</v>
      </c>
      <c r="P359" s="3">
        <f>SUM(J359:O359)</f>
        <v>63</v>
      </c>
      <c r="Q359" s="5">
        <v>2018</v>
      </c>
    </row>
    <row r="360" spans="1:17" ht="63.75">
      <c r="A360" s="26" t="s">
        <v>259</v>
      </c>
      <c r="B360" s="29">
        <v>1</v>
      </c>
      <c r="C360" s="29">
        <v>3</v>
      </c>
      <c r="D360" s="29">
        <v>3</v>
      </c>
      <c r="E360" s="29">
        <v>0</v>
      </c>
      <c r="F360" s="29">
        <v>3</v>
      </c>
      <c r="G360" s="5"/>
      <c r="H360" s="9" t="s">
        <v>346</v>
      </c>
      <c r="I360" s="5" t="s">
        <v>290</v>
      </c>
      <c r="J360" s="3">
        <v>22</v>
      </c>
      <c r="K360" s="60">
        <v>25</v>
      </c>
      <c r="L360" s="171">
        <v>9</v>
      </c>
      <c r="M360" s="60">
        <v>21</v>
      </c>
      <c r="N360" s="60">
        <v>0</v>
      </c>
      <c r="O360" s="3">
        <v>0</v>
      </c>
      <c r="P360" s="3">
        <f>SUM(J360:O360)</f>
        <v>77</v>
      </c>
      <c r="Q360" s="5">
        <v>2019</v>
      </c>
    </row>
    <row r="361" spans="1:17" ht="51">
      <c r="A361" s="26" t="s">
        <v>259</v>
      </c>
      <c r="B361" s="29">
        <v>1</v>
      </c>
      <c r="C361" s="29">
        <v>3</v>
      </c>
      <c r="D361" s="29">
        <v>3</v>
      </c>
      <c r="E361" s="29">
        <v>0</v>
      </c>
      <c r="F361" s="29">
        <v>3</v>
      </c>
      <c r="G361" s="5"/>
      <c r="H361" s="9" t="s">
        <v>347</v>
      </c>
      <c r="I361" s="5" t="s">
        <v>290</v>
      </c>
      <c r="J361" s="3">
        <v>0</v>
      </c>
      <c r="K361" s="3">
        <v>13</v>
      </c>
      <c r="L361" s="171">
        <v>17</v>
      </c>
      <c r="M361" s="60">
        <v>1</v>
      </c>
      <c r="N361" s="60">
        <v>0</v>
      </c>
      <c r="O361" s="3">
        <v>0</v>
      </c>
      <c r="P361" s="3">
        <f>SUM(J361:O361)</f>
        <v>31</v>
      </c>
      <c r="Q361" s="5">
        <v>2019</v>
      </c>
    </row>
    <row r="362" spans="1:17" s="17" customFormat="1" ht="76.5">
      <c r="A362" s="26" t="s">
        <v>259</v>
      </c>
      <c r="B362" s="29">
        <v>1</v>
      </c>
      <c r="C362" s="29">
        <v>3</v>
      </c>
      <c r="D362" s="29">
        <v>3</v>
      </c>
      <c r="E362" s="29">
        <v>0</v>
      </c>
      <c r="F362" s="29">
        <v>3</v>
      </c>
      <c r="G362" s="5"/>
      <c r="H362" s="9" t="s">
        <v>394</v>
      </c>
      <c r="I362" s="5" t="s">
        <v>290</v>
      </c>
      <c r="J362" s="3">
        <v>0</v>
      </c>
      <c r="K362" s="3">
        <v>0</v>
      </c>
      <c r="L362" s="171">
        <v>67</v>
      </c>
      <c r="M362" s="60">
        <v>67</v>
      </c>
      <c r="N362" s="60">
        <v>67</v>
      </c>
      <c r="O362" s="3">
        <v>0</v>
      </c>
      <c r="P362" s="10">
        <v>67</v>
      </c>
      <c r="Q362" s="5">
        <v>2020</v>
      </c>
    </row>
    <row r="363" spans="1:28" s="120" customFormat="1" ht="38.25">
      <c r="A363" s="75" t="s">
        <v>259</v>
      </c>
      <c r="B363" s="76">
        <v>1</v>
      </c>
      <c r="C363" s="76">
        <v>3</v>
      </c>
      <c r="D363" s="76">
        <v>4</v>
      </c>
      <c r="E363" s="76">
        <v>0</v>
      </c>
      <c r="F363" s="76">
        <v>0</v>
      </c>
      <c r="G363" s="76"/>
      <c r="H363" s="77" t="s">
        <v>4</v>
      </c>
      <c r="I363" s="76" t="s">
        <v>260</v>
      </c>
      <c r="J363" s="78">
        <f aca="true" t="shared" si="90" ref="J363:O363">J364</f>
        <v>0</v>
      </c>
      <c r="K363" s="78">
        <f t="shared" si="90"/>
        <v>78.1</v>
      </c>
      <c r="L363" s="181">
        <f t="shared" si="90"/>
        <v>3275</v>
      </c>
      <c r="M363" s="78">
        <f t="shared" si="90"/>
        <v>9236</v>
      </c>
      <c r="N363" s="78">
        <f t="shared" si="90"/>
        <v>1836</v>
      </c>
      <c r="O363" s="78">
        <f t="shared" si="90"/>
        <v>7780</v>
      </c>
      <c r="P363" s="78">
        <f>J363+K363+L363+M363+N363+O363</f>
        <v>22205.1</v>
      </c>
      <c r="Q363" s="76">
        <v>2021</v>
      </c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</row>
    <row r="364" spans="1:28" s="120" customFormat="1" ht="12.75">
      <c r="A364" s="26" t="s">
        <v>259</v>
      </c>
      <c r="B364" s="29">
        <v>1</v>
      </c>
      <c r="C364" s="29">
        <v>3</v>
      </c>
      <c r="D364" s="29">
        <v>4</v>
      </c>
      <c r="E364" s="29">
        <v>0</v>
      </c>
      <c r="F364" s="29">
        <v>0</v>
      </c>
      <c r="G364" s="29">
        <v>3</v>
      </c>
      <c r="H364" s="19" t="s">
        <v>261</v>
      </c>
      <c r="I364" s="29" t="s">
        <v>260</v>
      </c>
      <c r="J364" s="128">
        <f aca="true" t="shared" si="91" ref="J364:O364">J372</f>
        <v>0</v>
      </c>
      <c r="K364" s="128">
        <f t="shared" si="91"/>
        <v>78.1</v>
      </c>
      <c r="L364" s="172">
        <f>L372</f>
        <v>3275</v>
      </c>
      <c r="M364" s="101">
        <f>M372</f>
        <v>9236</v>
      </c>
      <c r="N364" s="101">
        <f>N372</f>
        <v>1836</v>
      </c>
      <c r="O364" s="128">
        <f t="shared" si="91"/>
        <v>7780</v>
      </c>
      <c r="P364" s="63">
        <f>J364+K364+L364+M364+N364+O364</f>
        <v>22205.1</v>
      </c>
      <c r="Q364" s="29">
        <v>2021</v>
      </c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</row>
    <row r="365" spans="1:17" ht="38.25">
      <c r="A365" s="26" t="s">
        <v>259</v>
      </c>
      <c r="B365" s="29">
        <v>1</v>
      </c>
      <c r="C365" s="29">
        <v>3</v>
      </c>
      <c r="D365" s="29">
        <v>4</v>
      </c>
      <c r="E365" s="29">
        <v>0</v>
      </c>
      <c r="F365" s="29">
        <v>0</v>
      </c>
      <c r="G365" s="5"/>
      <c r="H365" s="8" t="s">
        <v>5</v>
      </c>
      <c r="I365" s="5" t="s">
        <v>265</v>
      </c>
      <c r="J365" s="5">
        <v>92.9</v>
      </c>
      <c r="K365" s="5">
        <v>66.3</v>
      </c>
      <c r="L365" s="205">
        <v>68.3</v>
      </c>
      <c r="M365" s="64">
        <v>66.3</v>
      </c>
      <c r="N365" s="64">
        <v>66.3</v>
      </c>
      <c r="O365" s="5">
        <v>71.3</v>
      </c>
      <c r="P365" s="7">
        <f>SUM(J365:O365)/6</f>
        <v>71.9</v>
      </c>
      <c r="Q365" s="5">
        <v>2021</v>
      </c>
    </row>
    <row r="366" spans="1:17" ht="38.25">
      <c r="A366" s="26" t="s">
        <v>259</v>
      </c>
      <c r="B366" s="29">
        <v>1</v>
      </c>
      <c r="C366" s="29">
        <v>3</v>
      </c>
      <c r="D366" s="29">
        <v>4</v>
      </c>
      <c r="E366" s="29">
        <v>0</v>
      </c>
      <c r="F366" s="29">
        <v>0</v>
      </c>
      <c r="G366" s="5"/>
      <c r="H366" s="8" t="s">
        <v>6</v>
      </c>
      <c r="I366" s="5" t="s">
        <v>265</v>
      </c>
      <c r="J366" s="7">
        <v>44.6</v>
      </c>
      <c r="K366" s="7">
        <v>44.6</v>
      </c>
      <c r="L366" s="170">
        <v>45.5</v>
      </c>
      <c r="M366" s="64">
        <v>45.5</v>
      </c>
      <c r="N366" s="64">
        <v>45.5</v>
      </c>
      <c r="O366" s="5">
        <v>54.5</v>
      </c>
      <c r="P366" s="7">
        <f>SUM(J366:O366)/6</f>
        <v>46.7</v>
      </c>
      <c r="Q366" s="5">
        <v>2021</v>
      </c>
    </row>
    <row r="367" spans="1:17" ht="38.25">
      <c r="A367" s="26" t="s">
        <v>259</v>
      </c>
      <c r="B367" s="29">
        <v>1</v>
      </c>
      <c r="C367" s="29">
        <v>3</v>
      </c>
      <c r="D367" s="29">
        <v>4</v>
      </c>
      <c r="E367" s="29">
        <v>0</v>
      </c>
      <c r="F367" s="29">
        <v>0</v>
      </c>
      <c r="G367" s="5"/>
      <c r="H367" s="8" t="s">
        <v>7</v>
      </c>
      <c r="I367" s="5" t="s">
        <v>265</v>
      </c>
      <c r="J367" s="7">
        <v>61.1</v>
      </c>
      <c r="K367" s="7">
        <v>61.1</v>
      </c>
      <c r="L367" s="170">
        <v>61.1</v>
      </c>
      <c r="M367" s="62">
        <v>100</v>
      </c>
      <c r="N367" s="62">
        <v>100</v>
      </c>
      <c r="O367" s="7">
        <v>100</v>
      </c>
      <c r="P367" s="7">
        <f>SUM(J367:O367)/6</f>
        <v>80.6</v>
      </c>
      <c r="Q367" s="5">
        <v>2021</v>
      </c>
    </row>
    <row r="368" spans="1:17" s="17" customFormat="1" ht="63.75">
      <c r="A368" s="26" t="s">
        <v>259</v>
      </c>
      <c r="B368" s="29">
        <v>1</v>
      </c>
      <c r="C368" s="29">
        <v>3</v>
      </c>
      <c r="D368" s="29">
        <v>4</v>
      </c>
      <c r="E368" s="29">
        <v>0</v>
      </c>
      <c r="F368" s="29">
        <v>0</v>
      </c>
      <c r="G368" s="5"/>
      <c r="H368" s="8" t="s">
        <v>395</v>
      </c>
      <c r="I368" s="5" t="s">
        <v>265</v>
      </c>
      <c r="J368" s="7">
        <v>0</v>
      </c>
      <c r="K368" s="7">
        <v>0</v>
      </c>
      <c r="L368" s="170">
        <v>98.5</v>
      </c>
      <c r="M368" s="62">
        <v>100</v>
      </c>
      <c r="N368" s="62">
        <v>100</v>
      </c>
      <c r="O368" s="62">
        <v>22.4</v>
      </c>
      <c r="P368" s="62">
        <f>SUM(J368:O368)/6</f>
        <v>53.5</v>
      </c>
      <c r="Q368" s="5">
        <v>2021</v>
      </c>
    </row>
    <row r="369" spans="1:17" ht="63.75">
      <c r="A369" s="81" t="s">
        <v>259</v>
      </c>
      <c r="B369" s="82">
        <v>1</v>
      </c>
      <c r="C369" s="82">
        <v>3</v>
      </c>
      <c r="D369" s="82">
        <v>4</v>
      </c>
      <c r="E369" s="82">
        <v>0</v>
      </c>
      <c r="F369" s="82">
        <v>1</v>
      </c>
      <c r="G369" s="83"/>
      <c r="H369" s="84" t="s">
        <v>37</v>
      </c>
      <c r="I369" s="83" t="s">
        <v>275</v>
      </c>
      <c r="J369" s="88" t="s">
        <v>276</v>
      </c>
      <c r="K369" s="88" t="s">
        <v>276</v>
      </c>
      <c r="L369" s="190" t="s">
        <v>276</v>
      </c>
      <c r="M369" s="88" t="s">
        <v>276</v>
      </c>
      <c r="N369" s="88" t="s">
        <v>276</v>
      </c>
      <c r="O369" s="88" t="s">
        <v>276</v>
      </c>
      <c r="P369" s="88" t="s">
        <v>276</v>
      </c>
      <c r="Q369" s="83">
        <v>2021</v>
      </c>
    </row>
    <row r="370" spans="1:17" ht="51">
      <c r="A370" s="26" t="s">
        <v>259</v>
      </c>
      <c r="B370" s="29">
        <v>1</v>
      </c>
      <c r="C370" s="29">
        <v>3</v>
      </c>
      <c r="D370" s="29">
        <v>4</v>
      </c>
      <c r="E370" s="29">
        <v>0</v>
      </c>
      <c r="F370" s="29">
        <v>1</v>
      </c>
      <c r="G370" s="5"/>
      <c r="H370" s="8" t="s">
        <v>8</v>
      </c>
      <c r="I370" s="5" t="s">
        <v>290</v>
      </c>
      <c r="J370" s="3">
        <v>3</v>
      </c>
      <c r="K370" s="3">
        <v>3</v>
      </c>
      <c r="L370" s="171">
        <v>3</v>
      </c>
      <c r="M370" s="60">
        <v>3</v>
      </c>
      <c r="N370" s="60">
        <v>3</v>
      </c>
      <c r="O370" s="3">
        <v>3</v>
      </c>
      <c r="P370" s="3">
        <f aca="true" t="shared" si="92" ref="P370:P375">SUM(J370:O370)</f>
        <v>18</v>
      </c>
      <c r="Q370" s="5">
        <v>2021</v>
      </c>
    </row>
    <row r="371" spans="1:28" s="120" customFormat="1" ht="51">
      <c r="A371" s="81" t="s">
        <v>259</v>
      </c>
      <c r="B371" s="82">
        <v>1</v>
      </c>
      <c r="C371" s="82">
        <v>3</v>
      </c>
      <c r="D371" s="82">
        <v>4</v>
      </c>
      <c r="E371" s="82">
        <v>0</v>
      </c>
      <c r="F371" s="82">
        <v>2</v>
      </c>
      <c r="G371" s="82"/>
      <c r="H371" s="86" t="s">
        <v>38</v>
      </c>
      <c r="I371" s="123" t="s">
        <v>260</v>
      </c>
      <c r="J371" s="89">
        <f aca="true" t="shared" si="93" ref="J371:O371">J372</f>
        <v>0</v>
      </c>
      <c r="K371" s="89">
        <f t="shared" si="93"/>
        <v>78.1</v>
      </c>
      <c r="L371" s="191">
        <f t="shared" si="93"/>
        <v>3275</v>
      </c>
      <c r="M371" s="89">
        <f t="shared" si="93"/>
        <v>9236</v>
      </c>
      <c r="N371" s="89">
        <f t="shared" si="93"/>
        <v>1836</v>
      </c>
      <c r="O371" s="89">
        <f t="shared" si="93"/>
        <v>7780</v>
      </c>
      <c r="P371" s="85">
        <f t="shared" si="92"/>
        <v>22205.1</v>
      </c>
      <c r="Q371" s="124">
        <v>2021</v>
      </c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</row>
    <row r="372" spans="1:28" s="120" customFormat="1" ht="12.75">
      <c r="A372" s="26" t="s">
        <v>259</v>
      </c>
      <c r="B372" s="29">
        <v>1</v>
      </c>
      <c r="C372" s="29">
        <v>3</v>
      </c>
      <c r="D372" s="29">
        <v>4</v>
      </c>
      <c r="E372" s="29">
        <v>0</v>
      </c>
      <c r="F372" s="29">
        <v>2</v>
      </c>
      <c r="G372" s="29">
        <v>3</v>
      </c>
      <c r="H372" s="19" t="s">
        <v>261</v>
      </c>
      <c r="I372" s="29" t="s">
        <v>260</v>
      </c>
      <c r="J372" s="69">
        <f>200-200</f>
        <v>0</v>
      </c>
      <c r="K372" s="63">
        <v>78.1</v>
      </c>
      <c r="L372" s="148">
        <v>3275</v>
      </c>
      <c r="M372" s="63">
        <v>9236</v>
      </c>
      <c r="N372" s="63">
        <v>1836</v>
      </c>
      <c r="O372" s="63">
        <v>7780</v>
      </c>
      <c r="P372" s="63">
        <f t="shared" si="92"/>
        <v>22205.1</v>
      </c>
      <c r="Q372" s="29">
        <v>2021</v>
      </c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</row>
    <row r="373" spans="1:17" ht="25.5">
      <c r="A373" s="26" t="s">
        <v>259</v>
      </c>
      <c r="B373" s="29">
        <v>1</v>
      </c>
      <c r="C373" s="29">
        <v>3</v>
      </c>
      <c r="D373" s="29">
        <v>4</v>
      </c>
      <c r="E373" s="29">
        <v>0</v>
      </c>
      <c r="F373" s="29">
        <v>2</v>
      </c>
      <c r="G373" s="5"/>
      <c r="H373" s="9" t="s">
        <v>9</v>
      </c>
      <c r="I373" s="5" t="s">
        <v>290</v>
      </c>
      <c r="J373" s="3">
        <v>0</v>
      </c>
      <c r="K373" s="60">
        <v>2</v>
      </c>
      <c r="L373" s="171">
        <v>3</v>
      </c>
      <c r="M373" s="60">
        <v>0</v>
      </c>
      <c r="N373" s="60">
        <v>0</v>
      </c>
      <c r="O373" s="60">
        <v>5</v>
      </c>
      <c r="P373" s="60">
        <f t="shared" si="92"/>
        <v>10</v>
      </c>
      <c r="Q373" s="5">
        <v>2021</v>
      </c>
    </row>
    <row r="374" spans="1:17" ht="38.25">
      <c r="A374" s="26" t="s">
        <v>259</v>
      </c>
      <c r="B374" s="29">
        <v>1</v>
      </c>
      <c r="C374" s="29">
        <v>3</v>
      </c>
      <c r="D374" s="29">
        <v>4</v>
      </c>
      <c r="E374" s="29">
        <v>0</v>
      </c>
      <c r="F374" s="29">
        <v>2</v>
      </c>
      <c r="G374" s="5"/>
      <c r="H374" s="9" t="s">
        <v>10</v>
      </c>
      <c r="I374" s="5" t="s">
        <v>290</v>
      </c>
      <c r="J374" s="3">
        <v>0</v>
      </c>
      <c r="K374" s="60">
        <v>0</v>
      </c>
      <c r="L374" s="171">
        <v>1</v>
      </c>
      <c r="M374" s="60">
        <v>0</v>
      </c>
      <c r="N374" s="60">
        <v>0</v>
      </c>
      <c r="O374" s="60">
        <v>10</v>
      </c>
      <c r="P374" s="60">
        <f t="shared" si="92"/>
        <v>11</v>
      </c>
      <c r="Q374" s="5">
        <v>2021</v>
      </c>
    </row>
    <row r="375" spans="1:17" ht="38.25">
      <c r="A375" s="26" t="s">
        <v>259</v>
      </c>
      <c r="B375" s="29">
        <v>1</v>
      </c>
      <c r="C375" s="29">
        <v>3</v>
      </c>
      <c r="D375" s="29">
        <v>4</v>
      </c>
      <c r="E375" s="29">
        <v>0</v>
      </c>
      <c r="F375" s="29">
        <v>2</v>
      </c>
      <c r="G375" s="5"/>
      <c r="H375" s="9" t="s">
        <v>14</v>
      </c>
      <c r="I375" s="5" t="s">
        <v>290</v>
      </c>
      <c r="J375" s="3">
        <v>0</v>
      </c>
      <c r="K375" s="60">
        <v>0</v>
      </c>
      <c r="L375" s="171">
        <v>0</v>
      </c>
      <c r="M375" s="60">
        <v>7</v>
      </c>
      <c r="N375" s="60">
        <v>0</v>
      </c>
      <c r="O375" s="60">
        <v>0</v>
      </c>
      <c r="P375" s="60">
        <f t="shared" si="92"/>
        <v>7</v>
      </c>
      <c r="Q375" s="5">
        <v>2019</v>
      </c>
    </row>
    <row r="376" spans="1:17" s="17" customFormat="1" ht="63.75">
      <c r="A376" s="26" t="s">
        <v>259</v>
      </c>
      <c r="B376" s="29">
        <v>1</v>
      </c>
      <c r="C376" s="29">
        <v>3</v>
      </c>
      <c r="D376" s="29">
        <v>4</v>
      </c>
      <c r="E376" s="29">
        <v>0</v>
      </c>
      <c r="F376" s="29">
        <v>2</v>
      </c>
      <c r="G376" s="5"/>
      <c r="H376" s="9" t="s">
        <v>396</v>
      </c>
      <c r="I376" s="5" t="s">
        <v>290</v>
      </c>
      <c r="J376" s="3">
        <v>0</v>
      </c>
      <c r="K376" s="60">
        <v>0</v>
      </c>
      <c r="L376" s="171">
        <v>65</v>
      </c>
      <c r="M376" s="60">
        <v>65</v>
      </c>
      <c r="N376" s="60">
        <v>65</v>
      </c>
      <c r="O376" s="60">
        <v>0</v>
      </c>
      <c r="P376" s="60">
        <v>65</v>
      </c>
      <c r="Q376" s="5">
        <v>2020</v>
      </c>
    </row>
    <row r="377" spans="1:17" s="17" customFormat="1" ht="38.25">
      <c r="A377" s="26" t="s">
        <v>259</v>
      </c>
      <c r="B377" s="29">
        <v>1</v>
      </c>
      <c r="C377" s="29">
        <v>3</v>
      </c>
      <c r="D377" s="29">
        <v>4</v>
      </c>
      <c r="E377" s="29">
        <v>0</v>
      </c>
      <c r="F377" s="29">
        <v>2</v>
      </c>
      <c r="G377" s="5"/>
      <c r="H377" s="9" t="s">
        <v>78</v>
      </c>
      <c r="I377" s="5" t="s">
        <v>290</v>
      </c>
      <c r="J377" s="3">
        <v>0</v>
      </c>
      <c r="K377" s="3">
        <v>0</v>
      </c>
      <c r="L377" s="171">
        <v>6</v>
      </c>
      <c r="M377" s="60">
        <v>0</v>
      </c>
      <c r="N377" s="60">
        <v>0</v>
      </c>
      <c r="O377" s="3">
        <v>0</v>
      </c>
      <c r="P377" s="3">
        <f>SUM(J377:O377)</f>
        <v>6</v>
      </c>
      <c r="Q377" s="5">
        <v>2018</v>
      </c>
    </row>
    <row r="378" spans="1:28" s="120" customFormat="1" ht="53.25" customHeight="1">
      <c r="A378" s="75" t="s">
        <v>259</v>
      </c>
      <c r="B378" s="76">
        <v>1</v>
      </c>
      <c r="C378" s="76">
        <v>3</v>
      </c>
      <c r="D378" s="76">
        <v>5</v>
      </c>
      <c r="E378" s="76">
        <v>0</v>
      </c>
      <c r="F378" s="76">
        <v>0</v>
      </c>
      <c r="G378" s="76"/>
      <c r="H378" s="77" t="s">
        <v>15</v>
      </c>
      <c r="I378" s="76" t="s">
        <v>260</v>
      </c>
      <c r="J378" s="78">
        <f aca="true" t="shared" si="94" ref="J378:O378">J379</f>
        <v>0</v>
      </c>
      <c r="K378" s="78">
        <f t="shared" si="94"/>
        <v>0</v>
      </c>
      <c r="L378" s="181">
        <f t="shared" si="94"/>
        <v>4118.8</v>
      </c>
      <c r="M378" s="78">
        <f t="shared" si="94"/>
        <v>5492.3</v>
      </c>
      <c r="N378" s="78">
        <f t="shared" si="94"/>
        <v>4719.6</v>
      </c>
      <c r="O378" s="78">
        <f t="shared" si="94"/>
        <v>1461</v>
      </c>
      <c r="P378" s="78">
        <f>J378+K378+L378+M378+N378+O378</f>
        <v>15791.7</v>
      </c>
      <c r="Q378" s="76">
        <v>2021</v>
      </c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</row>
    <row r="379" spans="1:28" s="120" customFormat="1" ht="12.75">
      <c r="A379" s="26" t="s">
        <v>259</v>
      </c>
      <c r="B379" s="29">
        <v>1</v>
      </c>
      <c r="C379" s="29">
        <v>3</v>
      </c>
      <c r="D379" s="29">
        <v>5</v>
      </c>
      <c r="E379" s="29">
        <v>0</v>
      </c>
      <c r="F379" s="29">
        <v>0</v>
      </c>
      <c r="G379" s="29">
        <v>3</v>
      </c>
      <c r="H379" s="19" t="s">
        <v>261</v>
      </c>
      <c r="I379" s="29" t="s">
        <v>260</v>
      </c>
      <c r="J379" s="18">
        <f aca="true" t="shared" si="95" ref="J379:O379">J385</f>
        <v>0</v>
      </c>
      <c r="K379" s="18">
        <f t="shared" si="95"/>
        <v>0</v>
      </c>
      <c r="L379" s="148">
        <f>L385</f>
        <v>4118.8</v>
      </c>
      <c r="M379" s="98">
        <f>M385</f>
        <v>5492.3</v>
      </c>
      <c r="N379" s="98">
        <f>N385</f>
        <v>4719.6</v>
      </c>
      <c r="O379" s="18">
        <f t="shared" si="95"/>
        <v>1461</v>
      </c>
      <c r="P379" s="63">
        <f>J379+K379+L379+M379+N379+O379</f>
        <v>15791.7</v>
      </c>
      <c r="Q379" s="29">
        <v>2021</v>
      </c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</row>
    <row r="380" spans="1:17" ht="51">
      <c r="A380" s="26" t="s">
        <v>259</v>
      </c>
      <c r="B380" s="29">
        <v>1</v>
      </c>
      <c r="C380" s="29">
        <v>3</v>
      </c>
      <c r="D380" s="29">
        <v>5</v>
      </c>
      <c r="E380" s="29">
        <v>0</v>
      </c>
      <c r="F380" s="29">
        <v>0</v>
      </c>
      <c r="G380" s="5"/>
      <c r="H380" s="9" t="s">
        <v>243</v>
      </c>
      <c r="I380" s="5" t="s">
        <v>265</v>
      </c>
      <c r="J380" s="7">
        <v>100</v>
      </c>
      <c r="K380" s="7">
        <v>100</v>
      </c>
      <c r="L380" s="150">
        <v>100</v>
      </c>
      <c r="M380" s="62">
        <v>100</v>
      </c>
      <c r="N380" s="62">
        <v>100</v>
      </c>
      <c r="O380" s="7">
        <v>100</v>
      </c>
      <c r="P380" s="7">
        <v>100</v>
      </c>
      <c r="Q380" s="5">
        <v>2021</v>
      </c>
    </row>
    <row r="381" spans="1:17" ht="51">
      <c r="A381" s="26" t="s">
        <v>259</v>
      </c>
      <c r="B381" s="29">
        <v>1</v>
      </c>
      <c r="C381" s="29">
        <v>3</v>
      </c>
      <c r="D381" s="29">
        <v>5</v>
      </c>
      <c r="E381" s="29">
        <v>0</v>
      </c>
      <c r="F381" s="29">
        <v>0</v>
      </c>
      <c r="G381" s="5"/>
      <c r="H381" s="9" t="s">
        <v>245</v>
      </c>
      <c r="I381" s="5" t="s">
        <v>265</v>
      </c>
      <c r="J381" s="7">
        <v>84.8</v>
      </c>
      <c r="K381" s="62">
        <v>84.8</v>
      </c>
      <c r="L381" s="202">
        <v>59.2</v>
      </c>
      <c r="M381" s="62">
        <v>36</v>
      </c>
      <c r="N381" s="62">
        <v>24</v>
      </c>
      <c r="O381" s="62">
        <v>11.5</v>
      </c>
      <c r="P381" s="7">
        <f>SUM(J381:O381)/6</f>
        <v>50.1</v>
      </c>
      <c r="Q381" s="5">
        <v>2021</v>
      </c>
    </row>
    <row r="382" spans="1:17" ht="51">
      <c r="A382" s="81" t="s">
        <v>259</v>
      </c>
      <c r="B382" s="82">
        <v>1</v>
      </c>
      <c r="C382" s="82">
        <v>3</v>
      </c>
      <c r="D382" s="82">
        <v>5</v>
      </c>
      <c r="E382" s="82">
        <v>0</v>
      </c>
      <c r="F382" s="82">
        <v>1</v>
      </c>
      <c r="G382" s="83"/>
      <c r="H382" s="84" t="s">
        <v>39</v>
      </c>
      <c r="I382" s="83" t="s">
        <v>275</v>
      </c>
      <c r="J382" s="88" t="s">
        <v>276</v>
      </c>
      <c r="K382" s="88" t="s">
        <v>276</v>
      </c>
      <c r="L382" s="193" t="s">
        <v>276</v>
      </c>
      <c r="M382" s="88" t="s">
        <v>276</v>
      </c>
      <c r="N382" s="88" t="s">
        <v>276</v>
      </c>
      <c r="O382" s="88" t="s">
        <v>276</v>
      </c>
      <c r="P382" s="88" t="s">
        <v>276</v>
      </c>
      <c r="Q382" s="83">
        <v>2021</v>
      </c>
    </row>
    <row r="383" spans="1:17" ht="38.25">
      <c r="A383" s="26" t="s">
        <v>259</v>
      </c>
      <c r="B383" s="29">
        <v>1</v>
      </c>
      <c r="C383" s="29">
        <v>3</v>
      </c>
      <c r="D383" s="29">
        <v>5</v>
      </c>
      <c r="E383" s="29">
        <v>0</v>
      </c>
      <c r="F383" s="29">
        <v>1</v>
      </c>
      <c r="G383" s="5"/>
      <c r="H383" s="8" t="s">
        <v>16</v>
      </c>
      <c r="I383" s="5" t="s">
        <v>290</v>
      </c>
      <c r="J383" s="3">
        <v>68</v>
      </c>
      <c r="K383" s="60">
        <v>68</v>
      </c>
      <c r="L383" s="157">
        <v>67</v>
      </c>
      <c r="M383" s="60">
        <v>67</v>
      </c>
      <c r="N383" s="60">
        <v>67</v>
      </c>
      <c r="O383" s="3">
        <v>67</v>
      </c>
      <c r="P383" s="3">
        <v>67</v>
      </c>
      <c r="Q383" s="5">
        <v>2021</v>
      </c>
    </row>
    <row r="384" spans="1:28" s="120" customFormat="1" ht="51">
      <c r="A384" s="81" t="s">
        <v>259</v>
      </c>
      <c r="B384" s="82">
        <v>1</v>
      </c>
      <c r="C384" s="82">
        <v>3</v>
      </c>
      <c r="D384" s="82">
        <v>5</v>
      </c>
      <c r="E384" s="82">
        <v>0</v>
      </c>
      <c r="F384" s="82">
        <v>2</v>
      </c>
      <c r="G384" s="82"/>
      <c r="H384" s="86" t="s">
        <v>40</v>
      </c>
      <c r="I384" s="123" t="s">
        <v>260</v>
      </c>
      <c r="J384" s="87">
        <f aca="true" t="shared" si="96" ref="J384:O384">J385</f>
        <v>0</v>
      </c>
      <c r="K384" s="87">
        <f t="shared" si="96"/>
        <v>0</v>
      </c>
      <c r="L384" s="189">
        <f t="shared" si="96"/>
        <v>4118.8</v>
      </c>
      <c r="M384" s="87">
        <f t="shared" si="96"/>
        <v>5492.3</v>
      </c>
      <c r="N384" s="87">
        <f t="shared" si="96"/>
        <v>4719.6</v>
      </c>
      <c r="O384" s="87">
        <f t="shared" si="96"/>
        <v>1461</v>
      </c>
      <c r="P384" s="85">
        <f>SUM(J384:O384)</f>
        <v>15791.7</v>
      </c>
      <c r="Q384" s="124">
        <v>2021</v>
      </c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</row>
    <row r="385" spans="1:28" s="120" customFormat="1" ht="12.75">
      <c r="A385" s="26" t="s">
        <v>259</v>
      </c>
      <c r="B385" s="29">
        <v>1</v>
      </c>
      <c r="C385" s="29">
        <v>3</v>
      </c>
      <c r="D385" s="29">
        <v>5</v>
      </c>
      <c r="E385" s="29">
        <v>0</v>
      </c>
      <c r="F385" s="29">
        <v>2</v>
      </c>
      <c r="G385" s="29">
        <v>3</v>
      </c>
      <c r="H385" s="19" t="s">
        <v>261</v>
      </c>
      <c r="I385" s="29" t="s">
        <v>260</v>
      </c>
      <c r="J385" s="127">
        <v>0</v>
      </c>
      <c r="K385" s="118">
        <v>0</v>
      </c>
      <c r="L385" s="173">
        <v>4118.8</v>
      </c>
      <c r="M385" s="118">
        <v>5492.3</v>
      </c>
      <c r="N385" s="63">
        <v>4719.6</v>
      </c>
      <c r="O385" s="129">
        <v>1461</v>
      </c>
      <c r="P385" s="18">
        <f>SUM(J385:O385)</f>
        <v>15791.7</v>
      </c>
      <c r="Q385" s="29">
        <v>2021</v>
      </c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</row>
    <row r="386" spans="1:17" ht="38.25">
      <c r="A386" s="26" t="s">
        <v>259</v>
      </c>
      <c r="B386" s="29">
        <v>1</v>
      </c>
      <c r="C386" s="29">
        <v>3</v>
      </c>
      <c r="D386" s="29">
        <v>5</v>
      </c>
      <c r="E386" s="29">
        <v>0</v>
      </c>
      <c r="F386" s="29">
        <v>2</v>
      </c>
      <c r="G386" s="5"/>
      <c r="H386" s="8" t="s">
        <v>212</v>
      </c>
      <c r="I386" s="5" t="s">
        <v>290</v>
      </c>
      <c r="J386" s="3">
        <v>0</v>
      </c>
      <c r="K386" s="60">
        <v>0</v>
      </c>
      <c r="L386" s="157">
        <v>2550</v>
      </c>
      <c r="M386" s="60">
        <v>1000</v>
      </c>
      <c r="N386" s="60">
        <v>500</v>
      </c>
      <c r="O386" s="60">
        <v>480</v>
      </c>
      <c r="P386" s="3">
        <f>SUM(J386:O386)</f>
        <v>4530</v>
      </c>
      <c r="Q386" s="5">
        <v>2021</v>
      </c>
    </row>
    <row r="387" spans="1:17" ht="25.5">
      <c r="A387" s="26" t="s">
        <v>259</v>
      </c>
      <c r="B387" s="29">
        <v>1</v>
      </c>
      <c r="C387" s="29">
        <v>3</v>
      </c>
      <c r="D387" s="29">
        <v>5</v>
      </c>
      <c r="E387" s="29">
        <v>0</v>
      </c>
      <c r="F387" s="29">
        <v>2</v>
      </c>
      <c r="G387" s="5"/>
      <c r="H387" s="8" t="s">
        <v>213</v>
      </c>
      <c r="I387" s="5" t="s">
        <v>290</v>
      </c>
      <c r="J387" s="3">
        <v>0</v>
      </c>
      <c r="K387" s="60">
        <v>0</v>
      </c>
      <c r="L387" s="157">
        <v>0</v>
      </c>
      <c r="M387" s="60">
        <v>0</v>
      </c>
      <c r="N387" s="60">
        <v>0</v>
      </c>
      <c r="O387" s="60">
        <v>1400</v>
      </c>
      <c r="P387" s="3">
        <f>SUM(J387:O387)</f>
        <v>1400</v>
      </c>
      <c r="Q387" s="5">
        <v>2021</v>
      </c>
    </row>
    <row r="388" spans="1:17" ht="38.25">
      <c r="A388" s="26" t="s">
        <v>259</v>
      </c>
      <c r="B388" s="29">
        <v>1</v>
      </c>
      <c r="C388" s="29">
        <v>3</v>
      </c>
      <c r="D388" s="29">
        <v>5</v>
      </c>
      <c r="E388" s="29">
        <v>0</v>
      </c>
      <c r="F388" s="29">
        <v>2</v>
      </c>
      <c r="G388" s="5"/>
      <c r="H388" s="8" t="s">
        <v>196</v>
      </c>
      <c r="I388" s="5" t="s">
        <v>279</v>
      </c>
      <c r="J388" s="3">
        <v>0</v>
      </c>
      <c r="K388" s="60">
        <v>0</v>
      </c>
      <c r="L388" s="157">
        <v>1027</v>
      </c>
      <c r="M388" s="60">
        <v>2518</v>
      </c>
      <c r="N388" s="60">
        <v>2388</v>
      </c>
      <c r="O388" s="60">
        <v>0</v>
      </c>
      <c r="P388" s="3">
        <f>SUM(J388:O388)</f>
        <v>5933</v>
      </c>
      <c r="Q388" s="5">
        <v>2020</v>
      </c>
    </row>
    <row r="389" spans="1:17" ht="53.25" customHeight="1">
      <c r="A389" s="73" t="s">
        <v>259</v>
      </c>
      <c r="B389" s="56">
        <v>1</v>
      </c>
      <c r="C389" s="56">
        <v>4</v>
      </c>
      <c r="D389" s="56">
        <v>0</v>
      </c>
      <c r="E389" s="56">
        <v>0</v>
      </c>
      <c r="F389" s="56">
        <v>0</v>
      </c>
      <c r="G389" s="56"/>
      <c r="H389" s="74" t="s">
        <v>130</v>
      </c>
      <c r="I389" s="56" t="s">
        <v>260</v>
      </c>
      <c r="J389" s="57">
        <f aca="true" t="shared" si="97" ref="J389:O389">J390+J391+J392</f>
        <v>6563.9</v>
      </c>
      <c r="K389" s="57">
        <f t="shared" si="97"/>
        <v>3385.8</v>
      </c>
      <c r="L389" s="138">
        <f>L390+L391+L392</f>
        <v>500</v>
      </c>
      <c r="M389" s="57">
        <f>M390+M391+M392</f>
        <v>300</v>
      </c>
      <c r="N389" s="57">
        <f>N390+N391+N392</f>
        <v>320</v>
      </c>
      <c r="O389" s="57">
        <f t="shared" si="97"/>
        <v>330</v>
      </c>
      <c r="P389" s="57">
        <f aca="true" t="shared" si="98" ref="P389:P396">J389+K389+L389+M389+N389+O389</f>
        <v>11399.7</v>
      </c>
      <c r="Q389" s="56">
        <v>2021</v>
      </c>
    </row>
    <row r="390" spans="1:17" ht="12.75">
      <c r="A390" s="26" t="s">
        <v>259</v>
      </c>
      <c r="B390" s="29">
        <v>1</v>
      </c>
      <c r="C390" s="29">
        <v>4</v>
      </c>
      <c r="D390" s="29">
        <v>0</v>
      </c>
      <c r="E390" s="29">
        <v>0</v>
      </c>
      <c r="F390" s="29">
        <v>0</v>
      </c>
      <c r="G390" s="29">
        <v>3</v>
      </c>
      <c r="H390" s="19" t="s">
        <v>261</v>
      </c>
      <c r="I390" s="29" t="s">
        <v>260</v>
      </c>
      <c r="J390" s="43">
        <f aca="true" t="shared" si="99" ref="J390:O390">J394+J408</f>
        <v>603.9</v>
      </c>
      <c r="K390" s="43">
        <f t="shared" si="99"/>
        <v>657.8</v>
      </c>
      <c r="L390" s="174">
        <f>L394+L408</f>
        <v>500</v>
      </c>
      <c r="M390" s="102">
        <f>M394+M408</f>
        <v>300</v>
      </c>
      <c r="N390" s="102">
        <f>N394+N408</f>
        <v>320</v>
      </c>
      <c r="O390" s="43">
        <f t="shared" si="99"/>
        <v>330</v>
      </c>
      <c r="P390" s="63">
        <f t="shared" si="98"/>
        <v>2711.7</v>
      </c>
      <c r="Q390" s="29">
        <v>2021</v>
      </c>
    </row>
    <row r="391" spans="1:17" ht="12.75">
      <c r="A391" s="26" t="s">
        <v>259</v>
      </c>
      <c r="B391" s="29">
        <v>1</v>
      </c>
      <c r="C391" s="29">
        <v>4</v>
      </c>
      <c r="D391" s="29">
        <v>0</v>
      </c>
      <c r="E391" s="29">
        <v>0</v>
      </c>
      <c r="F391" s="29">
        <v>0</v>
      </c>
      <c r="G391" s="29">
        <v>2</v>
      </c>
      <c r="H391" s="19" t="s">
        <v>262</v>
      </c>
      <c r="I391" s="5" t="s">
        <v>260</v>
      </c>
      <c r="J391" s="18">
        <f aca="true" t="shared" si="100" ref="J391:O392">J395</f>
        <v>2130.8</v>
      </c>
      <c r="K391" s="18">
        <f t="shared" si="100"/>
        <v>409.2</v>
      </c>
      <c r="L391" s="148">
        <f t="shared" si="100"/>
        <v>0</v>
      </c>
      <c r="M391" s="98">
        <f t="shared" si="100"/>
        <v>0</v>
      </c>
      <c r="N391" s="98">
        <f t="shared" si="100"/>
        <v>0</v>
      </c>
      <c r="O391" s="18">
        <f t="shared" si="100"/>
        <v>0</v>
      </c>
      <c r="P391" s="63">
        <f t="shared" si="98"/>
        <v>2540</v>
      </c>
      <c r="Q391" s="29">
        <v>2017</v>
      </c>
    </row>
    <row r="392" spans="1:17" ht="12.75">
      <c r="A392" s="26" t="s">
        <v>259</v>
      </c>
      <c r="B392" s="29">
        <v>1</v>
      </c>
      <c r="C392" s="29">
        <v>4</v>
      </c>
      <c r="D392" s="29">
        <v>0</v>
      </c>
      <c r="E392" s="29">
        <v>0</v>
      </c>
      <c r="F392" s="29">
        <v>0</v>
      </c>
      <c r="G392" s="29">
        <v>1</v>
      </c>
      <c r="H392" s="19" t="s">
        <v>263</v>
      </c>
      <c r="I392" s="5" t="s">
        <v>260</v>
      </c>
      <c r="J392" s="18">
        <f t="shared" si="100"/>
        <v>3829.2</v>
      </c>
      <c r="K392" s="18">
        <f t="shared" si="100"/>
        <v>2318.8</v>
      </c>
      <c r="L392" s="148">
        <f t="shared" si="100"/>
        <v>0</v>
      </c>
      <c r="M392" s="98">
        <f t="shared" si="100"/>
        <v>0</v>
      </c>
      <c r="N392" s="98">
        <f t="shared" si="100"/>
        <v>0</v>
      </c>
      <c r="O392" s="18">
        <f t="shared" si="100"/>
        <v>0</v>
      </c>
      <c r="P392" s="63">
        <f t="shared" si="98"/>
        <v>6148</v>
      </c>
      <c r="Q392" s="29">
        <v>2017</v>
      </c>
    </row>
    <row r="393" spans="1:28" s="120" customFormat="1" ht="63.75">
      <c r="A393" s="75" t="s">
        <v>259</v>
      </c>
      <c r="B393" s="76">
        <v>1</v>
      </c>
      <c r="C393" s="76">
        <v>4</v>
      </c>
      <c r="D393" s="76">
        <v>1</v>
      </c>
      <c r="E393" s="76">
        <v>0</v>
      </c>
      <c r="F393" s="76">
        <v>0</v>
      </c>
      <c r="G393" s="76"/>
      <c r="H393" s="77" t="s">
        <v>17</v>
      </c>
      <c r="I393" s="76" t="s">
        <v>260</v>
      </c>
      <c r="J393" s="78">
        <f aca="true" t="shared" si="101" ref="J393:O393">J394+J395+J396</f>
        <v>6563.9</v>
      </c>
      <c r="K393" s="78">
        <f t="shared" si="101"/>
        <v>3365.8</v>
      </c>
      <c r="L393" s="181">
        <f>L394+L395+L396</f>
        <v>476</v>
      </c>
      <c r="M393" s="78">
        <f>M394+M395+M396</f>
        <v>280</v>
      </c>
      <c r="N393" s="78">
        <f>N394+N395+N396</f>
        <v>290</v>
      </c>
      <c r="O393" s="78">
        <f t="shared" si="101"/>
        <v>300</v>
      </c>
      <c r="P393" s="78">
        <f t="shared" si="98"/>
        <v>11275.7</v>
      </c>
      <c r="Q393" s="76">
        <v>2021</v>
      </c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</row>
    <row r="394" spans="1:28" s="120" customFormat="1" ht="12.75">
      <c r="A394" s="26" t="s">
        <v>259</v>
      </c>
      <c r="B394" s="29">
        <v>1</v>
      </c>
      <c r="C394" s="29">
        <v>4</v>
      </c>
      <c r="D394" s="29">
        <v>1</v>
      </c>
      <c r="E394" s="29">
        <v>0</v>
      </c>
      <c r="F394" s="29">
        <v>0</v>
      </c>
      <c r="G394" s="29">
        <v>3</v>
      </c>
      <c r="H394" s="19" t="s">
        <v>261</v>
      </c>
      <c r="I394" s="29" t="s">
        <v>260</v>
      </c>
      <c r="J394" s="18">
        <f aca="true" t="shared" si="102" ref="J394:O396">J402</f>
        <v>603.9</v>
      </c>
      <c r="K394" s="18">
        <f t="shared" si="102"/>
        <v>637.8</v>
      </c>
      <c r="L394" s="148">
        <f aca="true" t="shared" si="103" ref="L394:N396">L402</f>
        <v>476</v>
      </c>
      <c r="M394" s="98">
        <f t="shared" si="103"/>
        <v>280</v>
      </c>
      <c r="N394" s="98">
        <f t="shared" si="103"/>
        <v>290</v>
      </c>
      <c r="O394" s="18">
        <f t="shared" si="102"/>
        <v>300</v>
      </c>
      <c r="P394" s="63">
        <f t="shared" si="98"/>
        <v>2587.7</v>
      </c>
      <c r="Q394" s="41">
        <v>2021</v>
      </c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</row>
    <row r="395" spans="1:28" s="120" customFormat="1" ht="12.75">
      <c r="A395" s="26" t="s">
        <v>259</v>
      </c>
      <c r="B395" s="29">
        <v>1</v>
      </c>
      <c r="C395" s="29">
        <v>4</v>
      </c>
      <c r="D395" s="29">
        <v>1</v>
      </c>
      <c r="E395" s="29">
        <v>0</v>
      </c>
      <c r="F395" s="29">
        <v>0</v>
      </c>
      <c r="G395" s="29">
        <v>2</v>
      </c>
      <c r="H395" s="19" t="s">
        <v>262</v>
      </c>
      <c r="I395" s="29" t="s">
        <v>260</v>
      </c>
      <c r="J395" s="18">
        <f t="shared" si="102"/>
        <v>2130.8</v>
      </c>
      <c r="K395" s="18">
        <f t="shared" si="102"/>
        <v>409.2</v>
      </c>
      <c r="L395" s="148">
        <f t="shared" si="103"/>
        <v>0</v>
      </c>
      <c r="M395" s="98">
        <f t="shared" si="103"/>
        <v>0</v>
      </c>
      <c r="N395" s="98">
        <f t="shared" si="103"/>
        <v>0</v>
      </c>
      <c r="O395" s="18">
        <f t="shared" si="102"/>
        <v>0</v>
      </c>
      <c r="P395" s="63">
        <f t="shared" si="98"/>
        <v>2540</v>
      </c>
      <c r="Q395" s="29">
        <v>2017</v>
      </c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</row>
    <row r="396" spans="1:28" s="120" customFormat="1" ht="12.75">
      <c r="A396" s="26" t="s">
        <v>259</v>
      </c>
      <c r="B396" s="29">
        <v>1</v>
      </c>
      <c r="C396" s="29">
        <v>4</v>
      </c>
      <c r="D396" s="29">
        <v>1</v>
      </c>
      <c r="E396" s="29">
        <v>0</v>
      </c>
      <c r="F396" s="29">
        <v>0</v>
      </c>
      <c r="G396" s="29">
        <v>1</v>
      </c>
      <c r="H396" s="19" t="s">
        <v>263</v>
      </c>
      <c r="I396" s="29" t="s">
        <v>260</v>
      </c>
      <c r="J396" s="18">
        <f t="shared" si="102"/>
        <v>3829.2</v>
      </c>
      <c r="K396" s="18">
        <f t="shared" si="102"/>
        <v>2318.8</v>
      </c>
      <c r="L396" s="148">
        <f t="shared" si="103"/>
        <v>0</v>
      </c>
      <c r="M396" s="98">
        <f t="shared" si="103"/>
        <v>0</v>
      </c>
      <c r="N396" s="98">
        <f t="shared" si="103"/>
        <v>0</v>
      </c>
      <c r="O396" s="18">
        <f t="shared" si="102"/>
        <v>0</v>
      </c>
      <c r="P396" s="63">
        <f t="shared" si="98"/>
        <v>6148</v>
      </c>
      <c r="Q396" s="29">
        <v>2017</v>
      </c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</row>
    <row r="397" spans="1:17" ht="63.75">
      <c r="A397" s="26" t="s">
        <v>259</v>
      </c>
      <c r="B397" s="29">
        <v>1</v>
      </c>
      <c r="C397" s="29">
        <v>4</v>
      </c>
      <c r="D397" s="29">
        <v>1</v>
      </c>
      <c r="E397" s="29">
        <v>0</v>
      </c>
      <c r="F397" s="29">
        <v>0</v>
      </c>
      <c r="G397" s="5"/>
      <c r="H397" s="8" t="s">
        <v>19</v>
      </c>
      <c r="I397" s="5" t="s">
        <v>265</v>
      </c>
      <c r="J397" s="7">
        <v>97</v>
      </c>
      <c r="K397" s="7">
        <v>97.2</v>
      </c>
      <c r="L397" s="201">
        <v>100</v>
      </c>
      <c r="M397" s="62">
        <v>97.6</v>
      </c>
      <c r="N397" s="62">
        <v>97.9</v>
      </c>
      <c r="O397" s="7">
        <v>98.1</v>
      </c>
      <c r="P397" s="7">
        <f>SUM(J397:O397)/6</f>
        <v>98</v>
      </c>
      <c r="Q397" s="5">
        <v>2021</v>
      </c>
    </row>
    <row r="398" spans="1:17" ht="63.75">
      <c r="A398" s="26" t="s">
        <v>259</v>
      </c>
      <c r="B398" s="29">
        <v>1</v>
      </c>
      <c r="C398" s="29">
        <v>4</v>
      </c>
      <c r="D398" s="29">
        <v>1</v>
      </c>
      <c r="E398" s="29">
        <v>0</v>
      </c>
      <c r="F398" s="29">
        <v>0</v>
      </c>
      <c r="G398" s="5"/>
      <c r="H398" s="8" t="s">
        <v>20</v>
      </c>
      <c r="I398" s="5" t="s">
        <v>265</v>
      </c>
      <c r="J398" s="7">
        <v>3.8</v>
      </c>
      <c r="K398" s="62">
        <v>3.8</v>
      </c>
      <c r="L398" s="201">
        <v>3.7</v>
      </c>
      <c r="M398" s="62">
        <v>3.8</v>
      </c>
      <c r="N398" s="62">
        <v>3.9</v>
      </c>
      <c r="O398" s="7">
        <v>3.9</v>
      </c>
      <c r="P398" s="7">
        <f>SUM(J398:O398)/6</f>
        <v>3.8</v>
      </c>
      <c r="Q398" s="5">
        <v>2021</v>
      </c>
    </row>
    <row r="399" spans="1:17" ht="38.25">
      <c r="A399" s="81" t="s">
        <v>259</v>
      </c>
      <c r="B399" s="82">
        <v>1</v>
      </c>
      <c r="C399" s="82">
        <v>4</v>
      </c>
      <c r="D399" s="82">
        <v>1</v>
      </c>
      <c r="E399" s="82">
        <v>0</v>
      </c>
      <c r="F399" s="82">
        <v>1</v>
      </c>
      <c r="G399" s="83"/>
      <c r="H399" s="84" t="s">
        <v>41</v>
      </c>
      <c r="I399" s="83" t="s">
        <v>275</v>
      </c>
      <c r="J399" s="85" t="s">
        <v>276</v>
      </c>
      <c r="K399" s="85" t="s">
        <v>276</v>
      </c>
      <c r="L399" s="180" t="s">
        <v>276</v>
      </c>
      <c r="M399" s="85" t="s">
        <v>276</v>
      </c>
      <c r="N399" s="85" t="s">
        <v>276</v>
      </c>
      <c r="O399" s="85" t="s">
        <v>276</v>
      </c>
      <c r="P399" s="85" t="s">
        <v>276</v>
      </c>
      <c r="Q399" s="82">
        <v>2021</v>
      </c>
    </row>
    <row r="400" spans="1:17" ht="38.25">
      <c r="A400" s="26" t="s">
        <v>259</v>
      </c>
      <c r="B400" s="29">
        <v>1</v>
      </c>
      <c r="C400" s="29">
        <v>4</v>
      </c>
      <c r="D400" s="29">
        <v>1</v>
      </c>
      <c r="E400" s="29">
        <v>0</v>
      </c>
      <c r="F400" s="29">
        <v>1</v>
      </c>
      <c r="G400" s="5"/>
      <c r="H400" s="8" t="s">
        <v>182</v>
      </c>
      <c r="I400" s="5" t="s">
        <v>290</v>
      </c>
      <c r="J400" s="3">
        <v>1</v>
      </c>
      <c r="K400" s="3">
        <v>1</v>
      </c>
      <c r="L400" s="157">
        <v>1</v>
      </c>
      <c r="M400" s="60">
        <v>1</v>
      </c>
      <c r="N400" s="60">
        <v>1</v>
      </c>
      <c r="O400" s="3">
        <v>1</v>
      </c>
      <c r="P400" s="3">
        <f>SUM(J400:O400)</f>
        <v>6</v>
      </c>
      <c r="Q400" s="5">
        <v>2021</v>
      </c>
    </row>
    <row r="401" spans="1:28" s="120" customFormat="1" ht="51">
      <c r="A401" s="81" t="s">
        <v>259</v>
      </c>
      <c r="B401" s="82">
        <v>1</v>
      </c>
      <c r="C401" s="82">
        <v>4</v>
      </c>
      <c r="D401" s="82">
        <v>1</v>
      </c>
      <c r="E401" s="82">
        <v>0</v>
      </c>
      <c r="F401" s="82">
        <v>2</v>
      </c>
      <c r="G401" s="82"/>
      <c r="H401" s="86" t="s">
        <v>87</v>
      </c>
      <c r="I401" s="82" t="s">
        <v>260</v>
      </c>
      <c r="J401" s="85">
        <f>J402+J403+J404</f>
        <v>6563.9</v>
      </c>
      <c r="K401" s="85">
        <f>K402+K403+K404</f>
        <v>3365.8</v>
      </c>
      <c r="L401" s="180">
        <f>L402</f>
        <v>476</v>
      </c>
      <c r="M401" s="85">
        <f>M402</f>
        <v>280</v>
      </c>
      <c r="N401" s="85">
        <f>N402</f>
        <v>290</v>
      </c>
      <c r="O401" s="85">
        <f>O402</f>
        <v>300</v>
      </c>
      <c r="P401" s="85">
        <f>SUM(J401:O401)</f>
        <v>11275.7</v>
      </c>
      <c r="Q401" s="82">
        <v>2021</v>
      </c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</row>
    <row r="402" spans="1:28" s="120" customFormat="1" ht="12.75">
      <c r="A402" s="26" t="s">
        <v>259</v>
      </c>
      <c r="B402" s="29">
        <v>1</v>
      </c>
      <c r="C402" s="29">
        <v>4</v>
      </c>
      <c r="D402" s="29">
        <v>1</v>
      </c>
      <c r="E402" s="29">
        <v>0</v>
      </c>
      <c r="F402" s="29">
        <v>2</v>
      </c>
      <c r="G402" s="29">
        <v>3</v>
      </c>
      <c r="H402" s="19" t="s">
        <v>261</v>
      </c>
      <c r="I402" s="29" t="s">
        <v>260</v>
      </c>
      <c r="J402" s="127">
        <f>243.9+360</f>
        <v>603.9</v>
      </c>
      <c r="K402" s="118">
        <f>387.8+250</f>
        <v>637.8</v>
      </c>
      <c r="L402" s="173">
        <v>476</v>
      </c>
      <c r="M402" s="118">
        <v>280</v>
      </c>
      <c r="N402" s="118">
        <v>290</v>
      </c>
      <c r="O402" s="127">
        <v>300</v>
      </c>
      <c r="P402" s="18">
        <f>SUM(J402:O402)</f>
        <v>2587.7</v>
      </c>
      <c r="Q402" s="29">
        <v>2021</v>
      </c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</row>
    <row r="403" spans="1:28" s="120" customFormat="1" ht="12.75">
      <c r="A403" s="26" t="s">
        <v>259</v>
      </c>
      <c r="B403" s="29">
        <v>1</v>
      </c>
      <c r="C403" s="29">
        <v>4</v>
      </c>
      <c r="D403" s="29">
        <v>1</v>
      </c>
      <c r="E403" s="29">
        <v>0</v>
      </c>
      <c r="F403" s="29">
        <v>2</v>
      </c>
      <c r="G403" s="29">
        <v>2</v>
      </c>
      <c r="H403" s="19" t="s">
        <v>262</v>
      </c>
      <c r="I403" s="29" t="s">
        <v>260</v>
      </c>
      <c r="J403" s="18">
        <f>932.6+798.2+400</f>
        <v>2130.8</v>
      </c>
      <c r="K403" s="63">
        <v>409.2</v>
      </c>
      <c r="L403" s="148">
        <v>0</v>
      </c>
      <c r="M403" s="63">
        <v>0</v>
      </c>
      <c r="N403" s="63">
        <v>0</v>
      </c>
      <c r="O403" s="18">
        <v>0</v>
      </c>
      <c r="P403" s="18">
        <f>SUM(J403:O403)</f>
        <v>2540</v>
      </c>
      <c r="Q403" s="29">
        <v>2017</v>
      </c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</row>
    <row r="404" spans="1:28" s="120" customFormat="1" ht="12.75">
      <c r="A404" s="26" t="s">
        <v>259</v>
      </c>
      <c r="B404" s="29">
        <v>1</v>
      </c>
      <c r="C404" s="29">
        <v>4</v>
      </c>
      <c r="D404" s="29">
        <v>1</v>
      </c>
      <c r="E404" s="29">
        <v>0</v>
      </c>
      <c r="F404" s="29">
        <v>2</v>
      </c>
      <c r="G404" s="29">
        <v>1</v>
      </c>
      <c r="H404" s="19" t="s">
        <v>263</v>
      </c>
      <c r="I404" s="29" t="s">
        <v>260</v>
      </c>
      <c r="J404" s="18">
        <f>2069.2+1260+500</f>
        <v>3829.2</v>
      </c>
      <c r="K404" s="63">
        <v>2318.8</v>
      </c>
      <c r="L404" s="148">
        <v>0</v>
      </c>
      <c r="M404" s="63">
        <v>0</v>
      </c>
      <c r="N404" s="63">
        <v>0</v>
      </c>
      <c r="O404" s="18">
        <v>0</v>
      </c>
      <c r="P404" s="18">
        <f>SUM(J404:O404)</f>
        <v>6148</v>
      </c>
      <c r="Q404" s="29">
        <v>2017</v>
      </c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</row>
    <row r="405" spans="1:17" ht="76.5">
      <c r="A405" s="26" t="s">
        <v>259</v>
      </c>
      <c r="B405" s="29">
        <v>1</v>
      </c>
      <c r="C405" s="29">
        <v>4</v>
      </c>
      <c r="D405" s="29">
        <v>1</v>
      </c>
      <c r="E405" s="29">
        <v>0</v>
      </c>
      <c r="F405" s="29">
        <v>2</v>
      </c>
      <c r="G405" s="5"/>
      <c r="H405" s="9" t="s">
        <v>174</v>
      </c>
      <c r="I405" s="5" t="s">
        <v>290</v>
      </c>
      <c r="J405" s="3">
        <v>7</v>
      </c>
      <c r="K405" s="3">
        <v>8</v>
      </c>
      <c r="L405" s="157">
        <v>14</v>
      </c>
      <c r="M405" s="60">
        <v>14</v>
      </c>
      <c r="N405" s="60">
        <v>14</v>
      </c>
      <c r="O405" s="3">
        <v>14</v>
      </c>
      <c r="P405" s="3">
        <v>14</v>
      </c>
      <c r="Q405" s="5">
        <v>2021</v>
      </c>
    </row>
    <row r="406" spans="1:17" ht="51">
      <c r="A406" s="26" t="s">
        <v>259</v>
      </c>
      <c r="B406" s="29">
        <v>1</v>
      </c>
      <c r="C406" s="29">
        <v>4</v>
      </c>
      <c r="D406" s="29">
        <v>1</v>
      </c>
      <c r="E406" s="29">
        <v>0</v>
      </c>
      <c r="F406" s="29">
        <v>2</v>
      </c>
      <c r="G406" s="5"/>
      <c r="H406" s="9" t="s">
        <v>96</v>
      </c>
      <c r="I406" s="5" t="s">
        <v>290</v>
      </c>
      <c r="J406" s="3">
        <v>2</v>
      </c>
      <c r="K406" s="3">
        <v>1</v>
      </c>
      <c r="L406" s="157">
        <v>2</v>
      </c>
      <c r="M406" s="60">
        <v>2</v>
      </c>
      <c r="N406" s="60">
        <v>2</v>
      </c>
      <c r="O406" s="3">
        <v>2</v>
      </c>
      <c r="P406" s="3">
        <v>2</v>
      </c>
      <c r="Q406" s="5">
        <v>2021</v>
      </c>
    </row>
    <row r="407" spans="1:28" s="120" customFormat="1" ht="51">
      <c r="A407" s="75" t="s">
        <v>259</v>
      </c>
      <c r="B407" s="76">
        <v>1</v>
      </c>
      <c r="C407" s="76">
        <v>4</v>
      </c>
      <c r="D407" s="76">
        <v>2</v>
      </c>
      <c r="E407" s="76">
        <v>0</v>
      </c>
      <c r="F407" s="76">
        <v>0</v>
      </c>
      <c r="G407" s="76"/>
      <c r="H407" s="77" t="s">
        <v>21</v>
      </c>
      <c r="I407" s="76" t="s">
        <v>260</v>
      </c>
      <c r="J407" s="78">
        <v>0</v>
      </c>
      <c r="K407" s="78">
        <f>K408</f>
        <v>20</v>
      </c>
      <c r="L407" s="181">
        <f>L408</f>
        <v>24</v>
      </c>
      <c r="M407" s="78">
        <f>M408</f>
        <v>20</v>
      </c>
      <c r="N407" s="78">
        <f>N408</f>
        <v>30</v>
      </c>
      <c r="O407" s="78">
        <f>O408</f>
        <v>30</v>
      </c>
      <c r="P407" s="78">
        <f>J407+K407+L407+M407+N407+O407</f>
        <v>124</v>
      </c>
      <c r="Q407" s="76">
        <v>2021</v>
      </c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</row>
    <row r="408" spans="1:28" s="120" customFormat="1" ht="12.75">
      <c r="A408" s="26" t="s">
        <v>259</v>
      </c>
      <c r="B408" s="29">
        <v>1</v>
      </c>
      <c r="C408" s="29">
        <v>4</v>
      </c>
      <c r="D408" s="29">
        <v>2</v>
      </c>
      <c r="E408" s="29">
        <v>0</v>
      </c>
      <c r="F408" s="29">
        <v>0</v>
      </c>
      <c r="G408" s="29">
        <v>3</v>
      </c>
      <c r="H408" s="19" t="s">
        <v>261</v>
      </c>
      <c r="I408" s="29" t="s">
        <v>260</v>
      </c>
      <c r="J408" s="18">
        <v>0</v>
      </c>
      <c r="K408" s="18">
        <f>K414</f>
        <v>20</v>
      </c>
      <c r="L408" s="148">
        <f>L414</f>
        <v>24</v>
      </c>
      <c r="M408" s="98">
        <f>M414</f>
        <v>20</v>
      </c>
      <c r="N408" s="98">
        <f>N414</f>
        <v>30</v>
      </c>
      <c r="O408" s="18">
        <f>O414</f>
        <v>30</v>
      </c>
      <c r="P408" s="63">
        <f>J408+K408+L408+M408+N408+O408</f>
        <v>124</v>
      </c>
      <c r="Q408" s="32">
        <v>2021</v>
      </c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</row>
    <row r="409" spans="1:17" ht="63.75">
      <c r="A409" s="26" t="s">
        <v>259</v>
      </c>
      <c r="B409" s="29">
        <v>1</v>
      </c>
      <c r="C409" s="29">
        <v>4</v>
      </c>
      <c r="D409" s="29">
        <v>2</v>
      </c>
      <c r="E409" s="29">
        <v>0</v>
      </c>
      <c r="F409" s="29">
        <v>0</v>
      </c>
      <c r="G409" s="5"/>
      <c r="H409" s="8" t="s">
        <v>22</v>
      </c>
      <c r="I409" s="5" t="s">
        <v>265</v>
      </c>
      <c r="J409" s="7">
        <v>60</v>
      </c>
      <c r="K409" s="7">
        <v>58.7</v>
      </c>
      <c r="L409" s="204">
        <v>81.3</v>
      </c>
      <c r="M409" s="62">
        <v>78.3</v>
      </c>
      <c r="N409" s="62">
        <v>89.1</v>
      </c>
      <c r="O409" s="7">
        <v>100</v>
      </c>
      <c r="P409" s="7">
        <f>SUM(J409:O409)/6</f>
        <v>77.9</v>
      </c>
      <c r="Q409" s="5">
        <v>2021</v>
      </c>
    </row>
    <row r="410" spans="1:17" ht="76.5">
      <c r="A410" s="26" t="s">
        <v>259</v>
      </c>
      <c r="B410" s="29">
        <v>1</v>
      </c>
      <c r="C410" s="29">
        <v>4</v>
      </c>
      <c r="D410" s="29">
        <v>2</v>
      </c>
      <c r="E410" s="29">
        <v>0</v>
      </c>
      <c r="F410" s="29">
        <v>0</v>
      </c>
      <c r="G410" s="5"/>
      <c r="H410" s="8" t="s">
        <v>23</v>
      </c>
      <c r="I410" s="5" t="s">
        <v>260</v>
      </c>
      <c r="J410" s="7">
        <v>0</v>
      </c>
      <c r="K410" s="7">
        <v>2.2</v>
      </c>
      <c r="L410" s="204">
        <v>3.4</v>
      </c>
      <c r="M410" s="62">
        <v>2.5</v>
      </c>
      <c r="N410" s="62">
        <v>3</v>
      </c>
      <c r="O410" s="7">
        <v>3</v>
      </c>
      <c r="P410" s="7">
        <f>SUM(J410:O410)/6</f>
        <v>2.4</v>
      </c>
      <c r="Q410" s="5">
        <v>2021</v>
      </c>
    </row>
    <row r="411" spans="1:17" ht="63.75">
      <c r="A411" s="81" t="s">
        <v>259</v>
      </c>
      <c r="B411" s="82">
        <v>1</v>
      </c>
      <c r="C411" s="82">
        <v>4</v>
      </c>
      <c r="D411" s="82">
        <v>2</v>
      </c>
      <c r="E411" s="82">
        <v>0</v>
      </c>
      <c r="F411" s="82">
        <v>1</v>
      </c>
      <c r="G411" s="83"/>
      <c r="H411" s="84" t="s">
        <v>42</v>
      </c>
      <c r="I411" s="83" t="s">
        <v>275</v>
      </c>
      <c r="J411" s="85" t="s">
        <v>331</v>
      </c>
      <c r="K411" s="85" t="s">
        <v>276</v>
      </c>
      <c r="L411" s="180" t="s">
        <v>276</v>
      </c>
      <c r="M411" s="85" t="s">
        <v>276</v>
      </c>
      <c r="N411" s="85" t="s">
        <v>276</v>
      </c>
      <c r="O411" s="85" t="s">
        <v>276</v>
      </c>
      <c r="P411" s="85" t="s">
        <v>276</v>
      </c>
      <c r="Q411" s="82">
        <v>2021</v>
      </c>
    </row>
    <row r="412" spans="1:17" ht="38.25">
      <c r="A412" s="26" t="s">
        <v>259</v>
      </c>
      <c r="B412" s="29">
        <v>1</v>
      </c>
      <c r="C412" s="29">
        <v>4</v>
      </c>
      <c r="D412" s="29">
        <v>2</v>
      </c>
      <c r="E412" s="29">
        <v>0</v>
      </c>
      <c r="F412" s="29">
        <v>1</v>
      </c>
      <c r="G412" s="5"/>
      <c r="H412" s="8" t="s">
        <v>95</v>
      </c>
      <c r="I412" s="5" t="s">
        <v>290</v>
      </c>
      <c r="J412" s="3">
        <v>0</v>
      </c>
      <c r="K412" s="3">
        <v>1</v>
      </c>
      <c r="L412" s="157">
        <v>1</v>
      </c>
      <c r="M412" s="60">
        <v>1</v>
      </c>
      <c r="N412" s="60">
        <v>1</v>
      </c>
      <c r="O412" s="3">
        <v>1</v>
      </c>
      <c r="P412" s="3">
        <f>SUM(J412:O412)</f>
        <v>5</v>
      </c>
      <c r="Q412" s="5">
        <v>2021</v>
      </c>
    </row>
    <row r="413" spans="1:28" s="120" customFormat="1" ht="63.75">
      <c r="A413" s="81" t="s">
        <v>259</v>
      </c>
      <c r="B413" s="82">
        <v>1</v>
      </c>
      <c r="C413" s="82">
        <v>4</v>
      </c>
      <c r="D413" s="82">
        <v>2</v>
      </c>
      <c r="E413" s="82">
        <v>0</v>
      </c>
      <c r="F413" s="82">
        <v>2</v>
      </c>
      <c r="G413" s="82"/>
      <c r="H413" s="86" t="s">
        <v>43</v>
      </c>
      <c r="I413" s="82" t="s">
        <v>260</v>
      </c>
      <c r="J413" s="85">
        <f aca="true" t="shared" si="104" ref="J413:O413">J414</f>
        <v>0</v>
      </c>
      <c r="K413" s="85">
        <f t="shared" si="104"/>
        <v>20</v>
      </c>
      <c r="L413" s="180">
        <f t="shared" si="104"/>
        <v>24</v>
      </c>
      <c r="M413" s="85">
        <f t="shared" si="104"/>
        <v>20</v>
      </c>
      <c r="N413" s="85">
        <f t="shared" si="104"/>
        <v>30</v>
      </c>
      <c r="O413" s="85">
        <f t="shared" si="104"/>
        <v>30</v>
      </c>
      <c r="P413" s="85">
        <f>SUM(J413:O413)</f>
        <v>124</v>
      </c>
      <c r="Q413" s="82">
        <v>2021</v>
      </c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</row>
    <row r="414" spans="1:28" s="120" customFormat="1" ht="12.75">
      <c r="A414" s="26" t="s">
        <v>259</v>
      </c>
      <c r="B414" s="29">
        <v>1</v>
      </c>
      <c r="C414" s="29">
        <v>4</v>
      </c>
      <c r="D414" s="29">
        <v>2</v>
      </c>
      <c r="E414" s="29">
        <v>0</v>
      </c>
      <c r="F414" s="29">
        <v>2</v>
      </c>
      <c r="G414" s="29">
        <v>3</v>
      </c>
      <c r="H414" s="19" t="s">
        <v>261</v>
      </c>
      <c r="I414" s="29" t="s">
        <v>260</v>
      </c>
      <c r="J414" s="18">
        <v>0</v>
      </c>
      <c r="K414" s="18">
        <v>20</v>
      </c>
      <c r="L414" s="148">
        <v>24</v>
      </c>
      <c r="M414" s="63">
        <v>20</v>
      </c>
      <c r="N414" s="63">
        <v>30</v>
      </c>
      <c r="O414" s="18">
        <v>30</v>
      </c>
      <c r="P414" s="18">
        <f>SUM(J414:O414)</f>
        <v>124</v>
      </c>
      <c r="Q414" s="29">
        <v>2021</v>
      </c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</row>
    <row r="415" spans="1:17" ht="25.5">
      <c r="A415" s="26" t="s">
        <v>259</v>
      </c>
      <c r="B415" s="29">
        <v>1</v>
      </c>
      <c r="C415" s="29">
        <v>4</v>
      </c>
      <c r="D415" s="29">
        <v>2</v>
      </c>
      <c r="E415" s="29">
        <v>0</v>
      </c>
      <c r="F415" s="29">
        <v>2</v>
      </c>
      <c r="G415" s="5"/>
      <c r="H415" s="9" t="s">
        <v>24</v>
      </c>
      <c r="I415" s="5" t="s">
        <v>279</v>
      </c>
      <c r="J415" s="10">
        <v>0</v>
      </c>
      <c r="K415" s="10">
        <v>8</v>
      </c>
      <c r="L415" s="175">
        <v>9</v>
      </c>
      <c r="M415" s="65">
        <v>7</v>
      </c>
      <c r="N415" s="65">
        <v>9</v>
      </c>
      <c r="O415" s="10">
        <v>5</v>
      </c>
      <c r="P415" s="3">
        <f>SUM(J415:O415)</f>
        <v>38</v>
      </c>
      <c r="Q415" s="5">
        <v>2021</v>
      </c>
    </row>
    <row r="416" spans="1:17" ht="51">
      <c r="A416" s="26" t="s">
        <v>259</v>
      </c>
      <c r="B416" s="29">
        <v>1</v>
      </c>
      <c r="C416" s="29">
        <v>4</v>
      </c>
      <c r="D416" s="29">
        <v>2</v>
      </c>
      <c r="E416" s="29">
        <v>0</v>
      </c>
      <c r="F416" s="29">
        <v>2</v>
      </c>
      <c r="G416" s="5"/>
      <c r="H416" s="44" t="s">
        <v>25</v>
      </c>
      <c r="I416" s="5" t="s">
        <v>279</v>
      </c>
      <c r="J416" s="3">
        <v>0</v>
      </c>
      <c r="K416" s="3">
        <v>1</v>
      </c>
      <c r="L416" s="157">
        <v>1</v>
      </c>
      <c r="M416" s="60">
        <v>1</v>
      </c>
      <c r="N416" s="60">
        <v>1</v>
      </c>
      <c r="O416" s="3">
        <v>1</v>
      </c>
      <c r="P416" s="3">
        <f>SUM(J416:O416)</f>
        <v>5</v>
      </c>
      <c r="Q416" s="5">
        <v>2021</v>
      </c>
    </row>
    <row r="417" spans="1:28" s="120" customFormat="1" ht="38.25">
      <c r="A417" s="73" t="s">
        <v>259</v>
      </c>
      <c r="B417" s="56">
        <v>1</v>
      </c>
      <c r="C417" s="56">
        <v>5</v>
      </c>
      <c r="D417" s="56">
        <v>0</v>
      </c>
      <c r="E417" s="56">
        <v>0</v>
      </c>
      <c r="F417" s="56">
        <v>0</v>
      </c>
      <c r="G417" s="56"/>
      <c r="H417" s="74" t="s">
        <v>131</v>
      </c>
      <c r="I417" s="56" t="s">
        <v>260</v>
      </c>
      <c r="J417" s="57">
        <f aca="true" t="shared" si="105" ref="J417:O417">J418+J419</f>
        <v>60170.7</v>
      </c>
      <c r="K417" s="57">
        <f t="shared" si="105"/>
        <v>90551.3</v>
      </c>
      <c r="L417" s="57">
        <f>L418+L419</f>
        <v>41710.8</v>
      </c>
      <c r="M417" s="57">
        <f>M418+M419</f>
        <v>11634.6</v>
      </c>
      <c r="N417" s="57">
        <f>N418+N419</f>
        <v>11634.6</v>
      </c>
      <c r="O417" s="57">
        <f t="shared" si="105"/>
        <v>730.8</v>
      </c>
      <c r="P417" s="57">
        <f>J417+K417+L417+M417+N417+O417</f>
        <v>216432.8</v>
      </c>
      <c r="Q417" s="56">
        <v>2021</v>
      </c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</row>
    <row r="418" spans="1:28" s="120" customFormat="1" ht="12.75">
      <c r="A418" s="26" t="s">
        <v>259</v>
      </c>
      <c r="B418" s="29">
        <v>1</v>
      </c>
      <c r="C418" s="29">
        <v>5</v>
      </c>
      <c r="D418" s="29">
        <v>0</v>
      </c>
      <c r="E418" s="29">
        <v>0</v>
      </c>
      <c r="F418" s="29">
        <v>0</v>
      </c>
      <c r="G418" s="29">
        <v>3</v>
      </c>
      <c r="H418" s="19" t="s">
        <v>261</v>
      </c>
      <c r="I418" s="29" t="s">
        <v>260</v>
      </c>
      <c r="J418" s="18">
        <f aca="true" t="shared" si="106" ref="J418:O418">J421+J433+J445+J474</f>
        <v>59227.5</v>
      </c>
      <c r="K418" s="18">
        <f t="shared" si="106"/>
        <v>89592.3</v>
      </c>
      <c r="L418" s="148">
        <f>L421+L433+L445+L474</f>
        <v>40544.2</v>
      </c>
      <c r="M418" s="63">
        <f>M421+M433+M445+M474</f>
        <v>10675</v>
      </c>
      <c r="N418" s="98">
        <f>N421+N433+N445+N474</f>
        <v>10675</v>
      </c>
      <c r="O418" s="18">
        <f t="shared" si="106"/>
        <v>730.8</v>
      </c>
      <c r="P418" s="63">
        <f>J418+K418+L418+M418+N418+O418</f>
        <v>211444.8</v>
      </c>
      <c r="Q418" s="29">
        <v>2021</v>
      </c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</row>
    <row r="419" spans="1:28" s="120" customFormat="1" ht="12.75">
      <c r="A419" s="26" t="s">
        <v>259</v>
      </c>
      <c r="B419" s="29">
        <v>1</v>
      </c>
      <c r="C419" s="29">
        <v>5</v>
      </c>
      <c r="D419" s="29">
        <v>0</v>
      </c>
      <c r="E419" s="29">
        <v>0</v>
      </c>
      <c r="F419" s="29">
        <v>0</v>
      </c>
      <c r="G419" s="29">
        <v>2</v>
      </c>
      <c r="H419" s="19" t="s">
        <v>262</v>
      </c>
      <c r="I419" s="29" t="s">
        <v>260</v>
      </c>
      <c r="J419" s="18">
        <f aca="true" t="shared" si="107" ref="J419:O419">J446</f>
        <v>943.2</v>
      </c>
      <c r="K419" s="18">
        <f t="shared" si="107"/>
        <v>959</v>
      </c>
      <c r="L419" s="148">
        <f>L446</f>
        <v>1166.6</v>
      </c>
      <c r="M419" s="98">
        <f>M446</f>
        <v>959.6</v>
      </c>
      <c r="N419" s="98">
        <f>N446</f>
        <v>959.6</v>
      </c>
      <c r="O419" s="18">
        <f t="shared" si="107"/>
        <v>0</v>
      </c>
      <c r="P419" s="63">
        <f>J419+K419+L419+M419+N419+O419</f>
        <v>4988</v>
      </c>
      <c r="Q419" s="29">
        <v>2020</v>
      </c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</row>
    <row r="420" spans="1:28" s="120" customFormat="1" ht="25.5">
      <c r="A420" s="75" t="s">
        <v>259</v>
      </c>
      <c r="B420" s="76">
        <v>1</v>
      </c>
      <c r="C420" s="76">
        <v>5</v>
      </c>
      <c r="D420" s="76">
        <v>1</v>
      </c>
      <c r="E420" s="76">
        <v>0</v>
      </c>
      <c r="F420" s="76">
        <v>0</v>
      </c>
      <c r="G420" s="76"/>
      <c r="H420" s="77" t="s">
        <v>156</v>
      </c>
      <c r="I420" s="76" t="s">
        <v>260</v>
      </c>
      <c r="J420" s="78">
        <f aca="true" t="shared" si="108" ref="J420:O420">J421</f>
        <v>300</v>
      </c>
      <c r="K420" s="78">
        <f>K421</f>
        <v>300</v>
      </c>
      <c r="L420" s="78">
        <f>L421</f>
        <v>254</v>
      </c>
      <c r="M420" s="78">
        <f t="shared" si="108"/>
        <v>300</v>
      </c>
      <c r="N420" s="78">
        <f t="shared" si="108"/>
        <v>300</v>
      </c>
      <c r="O420" s="78">
        <f t="shared" si="108"/>
        <v>319.8</v>
      </c>
      <c r="P420" s="78">
        <f>J420+K420+L420+M420+N420+O420</f>
        <v>1773.8</v>
      </c>
      <c r="Q420" s="76">
        <v>2021</v>
      </c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</row>
    <row r="421" spans="1:28" s="120" customFormat="1" ht="12.75">
      <c r="A421" s="26" t="s">
        <v>259</v>
      </c>
      <c r="B421" s="29">
        <v>1</v>
      </c>
      <c r="C421" s="29">
        <v>5</v>
      </c>
      <c r="D421" s="29">
        <v>1</v>
      </c>
      <c r="E421" s="29">
        <v>0</v>
      </c>
      <c r="F421" s="29">
        <v>0</v>
      </c>
      <c r="G421" s="29">
        <v>3</v>
      </c>
      <c r="H421" s="19" t="s">
        <v>261</v>
      </c>
      <c r="I421" s="29" t="s">
        <v>260</v>
      </c>
      <c r="J421" s="18">
        <f aca="true" t="shared" si="109" ref="J421:O421">J428</f>
        <v>300</v>
      </c>
      <c r="K421" s="18">
        <f t="shared" si="109"/>
        <v>300</v>
      </c>
      <c r="L421" s="63">
        <f>L428</f>
        <v>254</v>
      </c>
      <c r="M421" s="98">
        <f>M428</f>
        <v>300</v>
      </c>
      <c r="N421" s="98">
        <f>N428</f>
        <v>300</v>
      </c>
      <c r="O421" s="18">
        <f t="shared" si="109"/>
        <v>319.8</v>
      </c>
      <c r="P421" s="63">
        <f>J421+K421+L421+M421+N421+O421</f>
        <v>1773.8</v>
      </c>
      <c r="Q421" s="29">
        <v>2021</v>
      </c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</row>
    <row r="422" spans="1:17" ht="38.25">
      <c r="A422" s="26" t="s">
        <v>259</v>
      </c>
      <c r="B422" s="29">
        <v>1</v>
      </c>
      <c r="C422" s="29">
        <v>5</v>
      </c>
      <c r="D422" s="29">
        <v>1</v>
      </c>
      <c r="E422" s="29">
        <v>0</v>
      </c>
      <c r="F422" s="29">
        <v>0</v>
      </c>
      <c r="G422" s="5"/>
      <c r="H422" s="8" t="s">
        <v>157</v>
      </c>
      <c r="I422" s="5" t="s">
        <v>290</v>
      </c>
      <c r="J422" s="10">
        <v>1</v>
      </c>
      <c r="K422" s="10">
        <v>1</v>
      </c>
      <c r="L422" s="65">
        <v>1</v>
      </c>
      <c r="M422" s="65">
        <v>1</v>
      </c>
      <c r="N422" s="65">
        <v>1</v>
      </c>
      <c r="O422" s="10">
        <v>1</v>
      </c>
      <c r="P422" s="10">
        <f>SUM(J422:O422)</f>
        <v>6</v>
      </c>
      <c r="Q422" s="5">
        <v>2021</v>
      </c>
    </row>
    <row r="423" spans="1:17" ht="38.25" customHeight="1">
      <c r="A423" s="26" t="s">
        <v>259</v>
      </c>
      <c r="B423" s="29">
        <v>1</v>
      </c>
      <c r="C423" s="29">
        <v>5</v>
      </c>
      <c r="D423" s="29">
        <v>1</v>
      </c>
      <c r="E423" s="29">
        <v>0</v>
      </c>
      <c r="F423" s="29">
        <v>0</v>
      </c>
      <c r="G423" s="5"/>
      <c r="H423" s="8" t="s">
        <v>158</v>
      </c>
      <c r="I423" s="5" t="s">
        <v>265</v>
      </c>
      <c r="J423" s="7">
        <v>13</v>
      </c>
      <c r="K423" s="64">
        <v>19.4</v>
      </c>
      <c r="L423" s="62">
        <v>9</v>
      </c>
      <c r="M423" s="64">
        <v>17.9</v>
      </c>
      <c r="N423" s="64">
        <v>17.9</v>
      </c>
      <c r="O423" s="5">
        <v>22.4</v>
      </c>
      <c r="P423" s="7">
        <f>SUM(J423:O423)/6</f>
        <v>16.6</v>
      </c>
      <c r="Q423" s="5">
        <v>2021</v>
      </c>
    </row>
    <row r="424" spans="1:17" ht="51" customHeight="1">
      <c r="A424" s="81" t="s">
        <v>259</v>
      </c>
      <c r="B424" s="82">
        <v>1</v>
      </c>
      <c r="C424" s="82">
        <v>5</v>
      </c>
      <c r="D424" s="82">
        <v>1</v>
      </c>
      <c r="E424" s="82">
        <v>0</v>
      </c>
      <c r="F424" s="82">
        <v>1</v>
      </c>
      <c r="G424" s="83"/>
      <c r="H424" s="84" t="s">
        <v>44</v>
      </c>
      <c r="I424" s="83" t="s">
        <v>275</v>
      </c>
      <c r="J424" s="85" t="s">
        <v>276</v>
      </c>
      <c r="K424" s="85" t="s">
        <v>276</v>
      </c>
      <c r="L424" s="85" t="s">
        <v>276</v>
      </c>
      <c r="M424" s="85" t="s">
        <v>276</v>
      </c>
      <c r="N424" s="85" t="s">
        <v>276</v>
      </c>
      <c r="O424" s="85" t="s">
        <v>276</v>
      </c>
      <c r="P424" s="85" t="s">
        <v>276</v>
      </c>
      <c r="Q424" s="82">
        <v>2021</v>
      </c>
    </row>
    <row r="425" spans="1:17" ht="51">
      <c r="A425" s="26" t="s">
        <v>259</v>
      </c>
      <c r="B425" s="29">
        <v>1</v>
      </c>
      <c r="C425" s="29">
        <v>5</v>
      </c>
      <c r="D425" s="29">
        <v>1</v>
      </c>
      <c r="E425" s="29">
        <v>0</v>
      </c>
      <c r="F425" s="29">
        <v>1</v>
      </c>
      <c r="G425" s="5"/>
      <c r="H425" s="9" t="s">
        <v>132</v>
      </c>
      <c r="I425" s="5" t="s">
        <v>290</v>
      </c>
      <c r="J425" s="3">
        <v>1</v>
      </c>
      <c r="K425" s="3">
        <v>0</v>
      </c>
      <c r="L425" s="60">
        <v>0</v>
      </c>
      <c r="M425" s="60">
        <v>1</v>
      </c>
      <c r="N425" s="60">
        <v>1</v>
      </c>
      <c r="O425" s="3">
        <v>1</v>
      </c>
      <c r="P425" s="3">
        <f aca="true" t="shared" si="110" ref="P425:P431">SUM(J425:O425)</f>
        <v>4</v>
      </c>
      <c r="Q425" s="5">
        <v>2021</v>
      </c>
    </row>
    <row r="426" spans="1:17" ht="51">
      <c r="A426" s="26" t="s">
        <v>259</v>
      </c>
      <c r="B426" s="29">
        <v>1</v>
      </c>
      <c r="C426" s="29">
        <v>5</v>
      </c>
      <c r="D426" s="29">
        <v>1</v>
      </c>
      <c r="E426" s="29">
        <v>0</v>
      </c>
      <c r="F426" s="29">
        <v>1</v>
      </c>
      <c r="G426" s="5"/>
      <c r="H426" s="9" t="s">
        <v>159</v>
      </c>
      <c r="I426" s="5" t="s">
        <v>290</v>
      </c>
      <c r="J426" s="3">
        <v>20</v>
      </c>
      <c r="K426" s="3">
        <v>20</v>
      </c>
      <c r="L426" s="60">
        <v>20</v>
      </c>
      <c r="M426" s="60">
        <v>20</v>
      </c>
      <c r="N426" s="60">
        <v>20</v>
      </c>
      <c r="O426" s="3">
        <v>20</v>
      </c>
      <c r="P426" s="3">
        <f t="shared" si="110"/>
        <v>120</v>
      </c>
      <c r="Q426" s="5">
        <v>2021</v>
      </c>
    </row>
    <row r="427" spans="1:28" s="120" customFormat="1" ht="51">
      <c r="A427" s="81" t="s">
        <v>259</v>
      </c>
      <c r="B427" s="82">
        <v>1</v>
      </c>
      <c r="C427" s="82">
        <v>5</v>
      </c>
      <c r="D427" s="82">
        <v>1</v>
      </c>
      <c r="E427" s="82">
        <v>0</v>
      </c>
      <c r="F427" s="82">
        <v>2</v>
      </c>
      <c r="G427" s="82"/>
      <c r="H427" s="86" t="s">
        <v>45</v>
      </c>
      <c r="I427" s="82" t="s">
        <v>260</v>
      </c>
      <c r="J427" s="85">
        <f aca="true" t="shared" si="111" ref="J427:O427">J428</f>
        <v>300</v>
      </c>
      <c r="K427" s="85">
        <f>K428</f>
        <v>300</v>
      </c>
      <c r="L427" s="85">
        <f>L428</f>
        <v>254</v>
      </c>
      <c r="M427" s="85">
        <f t="shared" si="111"/>
        <v>300</v>
      </c>
      <c r="N427" s="85">
        <f t="shared" si="111"/>
        <v>300</v>
      </c>
      <c r="O427" s="85">
        <f t="shared" si="111"/>
        <v>319.8</v>
      </c>
      <c r="P427" s="85">
        <f t="shared" si="110"/>
        <v>1773.8</v>
      </c>
      <c r="Q427" s="82">
        <v>2021</v>
      </c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</row>
    <row r="428" spans="1:28" s="120" customFormat="1" ht="12.75">
      <c r="A428" s="26" t="s">
        <v>259</v>
      </c>
      <c r="B428" s="29">
        <v>1</v>
      </c>
      <c r="C428" s="29">
        <v>5</v>
      </c>
      <c r="D428" s="29">
        <v>1</v>
      </c>
      <c r="E428" s="29">
        <v>0</v>
      </c>
      <c r="F428" s="29">
        <v>2</v>
      </c>
      <c r="G428" s="29">
        <v>3</v>
      </c>
      <c r="H428" s="19" t="s">
        <v>261</v>
      </c>
      <c r="I428" s="29" t="s">
        <v>260</v>
      </c>
      <c r="J428" s="18">
        <v>300</v>
      </c>
      <c r="K428" s="18">
        <v>300</v>
      </c>
      <c r="L428" s="63">
        <v>254</v>
      </c>
      <c r="M428" s="63">
        <v>300</v>
      </c>
      <c r="N428" s="63">
        <v>300</v>
      </c>
      <c r="O428" s="18">
        <v>319.8</v>
      </c>
      <c r="P428" s="18">
        <f t="shared" si="110"/>
        <v>1773.8</v>
      </c>
      <c r="Q428" s="29">
        <v>2021</v>
      </c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</row>
    <row r="429" spans="1:17" ht="51">
      <c r="A429" s="26" t="s">
        <v>259</v>
      </c>
      <c r="B429" s="29">
        <v>1</v>
      </c>
      <c r="C429" s="29">
        <v>5</v>
      </c>
      <c r="D429" s="29">
        <v>1</v>
      </c>
      <c r="E429" s="29">
        <v>0</v>
      </c>
      <c r="F429" s="29">
        <v>2</v>
      </c>
      <c r="G429" s="5"/>
      <c r="H429" s="8" t="s">
        <v>160</v>
      </c>
      <c r="I429" s="5" t="s">
        <v>279</v>
      </c>
      <c r="J429" s="3">
        <v>5</v>
      </c>
      <c r="K429" s="60">
        <v>6</v>
      </c>
      <c r="L429" s="60">
        <v>6</v>
      </c>
      <c r="M429" s="60">
        <v>6</v>
      </c>
      <c r="N429" s="60">
        <v>6</v>
      </c>
      <c r="O429" s="3">
        <v>6</v>
      </c>
      <c r="P429" s="10">
        <f t="shared" si="110"/>
        <v>35</v>
      </c>
      <c r="Q429" s="5">
        <v>2021</v>
      </c>
    </row>
    <row r="430" spans="1:17" ht="51">
      <c r="A430" s="26" t="s">
        <v>259</v>
      </c>
      <c r="B430" s="29">
        <v>1</v>
      </c>
      <c r="C430" s="29">
        <v>5</v>
      </c>
      <c r="D430" s="29">
        <v>1</v>
      </c>
      <c r="E430" s="29">
        <v>0</v>
      </c>
      <c r="F430" s="29">
        <v>2</v>
      </c>
      <c r="G430" s="5"/>
      <c r="H430" s="8" t="s">
        <v>183</v>
      </c>
      <c r="I430" s="5" t="s">
        <v>290</v>
      </c>
      <c r="J430" s="3">
        <v>1</v>
      </c>
      <c r="K430" s="3">
        <v>1</v>
      </c>
      <c r="L430" s="60">
        <v>1</v>
      </c>
      <c r="M430" s="60">
        <v>1</v>
      </c>
      <c r="N430" s="60">
        <v>1</v>
      </c>
      <c r="O430" s="3">
        <v>1</v>
      </c>
      <c r="P430" s="10">
        <f t="shared" si="110"/>
        <v>6</v>
      </c>
      <c r="Q430" s="5">
        <v>2021</v>
      </c>
    </row>
    <row r="431" spans="1:17" ht="38.25">
      <c r="A431" s="26" t="s">
        <v>259</v>
      </c>
      <c r="B431" s="29">
        <v>1</v>
      </c>
      <c r="C431" s="29">
        <v>5</v>
      </c>
      <c r="D431" s="29">
        <v>1</v>
      </c>
      <c r="E431" s="29">
        <v>0</v>
      </c>
      <c r="F431" s="29">
        <v>2</v>
      </c>
      <c r="G431" s="5"/>
      <c r="H431" s="8" t="s">
        <v>184</v>
      </c>
      <c r="I431" s="5" t="s">
        <v>290</v>
      </c>
      <c r="J431" s="3">
        <v>2</v>
      </c>
      <c r="K431" s="3">
        <v>2</v>
      </c>
      <c r="L431" s="60">
        <v>2</v>
      </c>
      <c r="M431" s="60">
        <v>2</v>
      </c>
      <c r="N431" s="60">
        <v>2</v>
      </c>
      <c r="O431" s="3">
        <v>2</v>
      </c>
      <c r="P431" s="10">
        <f t="shared" si="110"/>
        <v>12</v>
      </c>
      <c r="Q431" s="5">
        <v>2021</v>
      </c>
    </row>
    <row r="432" spans="1:28" s="120" customFormat="1" ht="25.5">
      <c r="A432" s="75" t="s">
        <v>259</v>
      </c>
      <c r="B432" s="76">
        <v>1</v>
      </c>
      <c r="C432" s="76">
        <v>5</v>
      </c>
      <c r="D432" s="76">
        <v>2</v>
      </c>
      <c r="E432" s="76">
        <v>0</v>
      </c>
      <c r="F432" s="76">
        <v>0</v>
      </c>
      <c r="G432" s="76"/>
      <c r="H432" s="77" t="s">
        <v>185</v>
      </c>
      <c r="I432" s="76" t="s">
        <v>260</v>
      </c>
      <c r="J432" s="78">
        <f aca="true" t="shared" si="112" ref="J432:O432">J433</f>
        <v>10</v>
      </c>
      <c r="K432" s="78">
        <f>K433</f>
        <v>10</v>
      </c>
      <c r="L432" s="78">
        <f>L433</f>
        <v>10</v>
      </c>
      <c r="M432" s="78">
        <f t="shared" si="112"/>
        <v>10</v>
      </c>
      <c r="N432" s="78">
        <f t="shared" si="112"/>
        <v>10</v>
      </c>
      <c r="O432" s="78">
        <f t="shared" si="112"/>
        <v>10</v>
      </c>
      <c r="P432" s="78">
        <f>J432+K432+L432+M432+N432+O432</f>
        <v>60</v>
      </c>
      <c r="Q432" s="76">
        <v>2021</v>
      </c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</row>
    <row r="433" spans="1:28" s="120" customFormat="1" ht="12.75">
      <c r="A433" s="26" t="s">
        <v>259</v>
      </c>
      <c r="B433" s="29">
        <v>1</v>
      </c>
      <c r="C433" s="29">
        <v>5</v>
      </c>
      <c r="D433" s="29">
        <v>2</v>
      </c>
      <c r="E433" s="29">
        <v>0</v>
      </c>
      <c r="F433" s="29">
        <v>0</v>
      </c>
      <c r="G433" s="29">
        <v>3</v>
      </c>
      <c r="H433" s="19" t="s">
        <v>261</v>
      </c>
      <c r="I433" s="29" t="s">
        <v>260</v>
      </c>
      <c r="J433" s="18">
        <f aca="true" t="shared" si="113" ref="J433:O433">J440</f>
        <v>10</v>
      </c>
      <c r="K433" s="18">
        <f t="shared" si="113"/>
        <v>10</v>
      </c>
      <c r="L433" s="63">
        <f>L440</f>
        <v>10</v>
      </c>
      <c r="M433" s="98">
        <f>M440</f>
        <v>10</v>
      </c>
      <c r="N433" s="98">
        <f>N440</f>
        <v>10</v>
      </c>
      <c r="O433" s="18">
        <f t="shared" si="113"/>
        <v>10</v>
      </c>
      <c r="P433" s="63">
        <f>J433+K433+L433+M433+N433+O433</f>
        <v>60</v>
      </c>
      <c r="Q433" s="32">
        <v>2021</v>
      </c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</row>
    <row r="434" spans="1:17" ht="38.25">
      <c r="A434" s="26" t="s">
        <v>259</v>
      </c>
      <c r="B434" s="29">
        <v>1</v>
      </c>
      <c r="C434" s="29">
        <v>5</v>
      </c>
      <c r="D434" s="29">
        <v>2</v>
      </c>
      <c r="E434" s="29">
        <v>0</v>
      </c>
      <c r="F434" s="29">
        <v>0</v>
      </c>
      <c r="G434" s="5"/>
      <c r="H434" s="8" t="s">
        <v>186</v>
      </c>
      <c r="I434" s="5" t="s">
        <v>265</v>
      </c>
      <c r="J434" s="5">
        <v>65.2</v>
      </c>
      <c r="K434" s="5">
        <v>76.1</v>
      </c>
      <c r="L434" s="64">
        <v>100</v>
      </c>
      <c r="M434" s="64">
        <v>86.6</v>
      </c>
      <c r="N434" s="62">
        <v>91</v>
      </c>
      <c r="O434" s="5">
        <v>95.5</v>
      </c>
      <c r="P434" s="7">
        <f>SUM(J434:O434)/6</f>
        <v>85.7</v>
      </c>
      <c r="Q434" s="5">
        <v>2021</v>
      </c>
    </row>
    <row r="435" spans="1:17" ht="38.25">
      <c r="A435" s="26" t="s">
        <v>259</v>
      </c>
      <c r="B435" s="29">
        <v>1</v>
      </c>
      <c r="C435" s="29">
        <v>5</v>
      </c>
      <c r="D435" s="29">
        <v>2</v>
      </c>
      <c r="E435" s="29">
        <v>0</v>
      </c>
      <c r="F435" s="29">
        <v>0</v>
      </c>
      <c r="G435" s="5"/>
      <c r="H435" s="8" t="s">
        <v>100</v>
      </c>
      <c r="I435" s="5" t="s">
        <v>290</v>
      </c>
      <c r="J435" s="3">
        <v>189</v>
      </c>
      <c r="K435" s="60">
        <v>733</v>
      </c>
      <c r="L435" s="60">
        <v>1449</v>
      </c>
      <c r="M435" s="60">
        <v>320</v>
      </c>
      <c r="N435" s="60">
        <v>340</v>
      </c>
      <c r="O435" s="3">
        <v>390</v>
      </c>
      <c r="P435" s="3">
        <f>SUM(J435:O435)</f>
        <v>3421</v>
      </c>
      <c r="Q435" s="5">
        <v>2021</v>
      </c>
    </row>
    <row r="436" spans="1:17" ht="51">
      <c r="A436" s="81" t="s">
        <v>259</v>
      </c>
      <c r="B436" s="82">
        <v>1</v>
      </c>
      <c r="C436" s="82">
        <v>5</v>
      </c>
      <c r="D436" s="82">
        <v>2</v>
      </c>
      <c r="E436" s="82">
        <v>0</v>
      </c>
      <c r="F436" s="82">
        <v>1</v>
      </c>
      <c r="G436" s="83"/>
      <c r="H436" s="84" t="s">
        <v>46</v>
      </c>
      <c r="I436" s="83" t="s">
        <v>275</v>
      </c>
      <c r="J436" s="85" t="s">
        <v>276</v>
      </c>
      <c r="K436" s="85" t="s">
        <v>276</v>
      </c>
      <c r="L436" s="85" t="s">
        <v>276</v>
      </c>
      <c r="M436" s="85" t="s">
        <v>276</v>
      </c>
      <c r="N436" s="85" t="s">
        <v>276</v>
      </c>
      <c r="O436" s="85" t="s">
        <v>276</v>
      </c>
      <c r="P436" s="85" t="s">
        <v>276</v>
      </c>
      <c r="Q436" s="82">
        <v>2021</v>
      </c>
    </row>
    <row r="437" spans="1:17" ht="38.25">
      <c r="A437" s="26" t="s">
        <v>259</v>
      </c>
      <c r="B437" s="29">
        <v>1</v>
      </c>
      <c r="C437" s="29">
        <v>5</v>
      </c>
      <c r="D437" s="29">
        <v>2</v>
      </c>
      <c r="E437" s="29">
        <v>0</v>
      </c>
      <c r="F437" s="29">
        <v>1</v>
      </c>
      <c r="G437" s="5"/>
      <c r="H437" s="8" t="s">
        <v>187</v>
      </c>
      <c r="I437" s="5" t="s">
        <v>290</v>
      </c>
      <c r="J437" s="3">
        <v>7000</v>
      </c>
      <c r="K437" s="3">
        <v>7500</v>
      </c>
      <c r="L437" s="60">
        <v>0</v>
      </c>
      <c r="M437" s="60">
        <v>0</v>
      </c>
      <c r="N437" s="60">
        <v>0</v>
      </c>
      <c r="O437" s="3">
        <v>0</v>
      </c>
      <c r="P437" s="60">
        <f>SUM(J437:O437)</f>
        <v>14500</v>
      </c>
      <c r="Q437" s="5">
        <v>2017</v>
      </c>
    </row>
    <row r="438" spans="1:17" ht="38.25">
      <c r="A438" s="26" t="s">
        <v>259</v>
      </c>
      <c r="B438" s="29">
        <v>1</v>
      </c>
      <c r="C438" s="29">
        <v>5</v>
      </c>
      <c r="D438" s="29">
        <v>2</v>
      </c>
      <c r="E438" s="29">
        <v>0</v>
      </c>
      <c r="F438" s="29">
        <v>1</v>
      </c>
      <c r="G438" s="5"/>
      <c r="H438" s="8" t="s">
        <v>180</v>
      </c>
      <c r="I438" s="5" t="s">
        <v>290</v>
      </c>
      <c r="J438" s="3">
        <v>0</v>
      </c>
      <c r="K438" s="3">
        <v>0</v>
      </c>
      <c r="L438" s="60">
        <v>8</v>
      </c>
      <c r="M438" s="60">
        <v>8</v>
      </c>
      <c r="N438" s="60">
        <v>8</v>
      </c>
      <c r="O438" s="3">
        <v>8</v>
      </c>
      <c r="P438" s="60">
        <f>SUM(J438:O438)</f>
        <v>32</v>
      </c>
      <c r="Q438" s="5">
        <v>2021</v>
      </c>
    </row>
    <row r="439" spans="1:28" s="120" customFormat="1" ht="38.25">
      <c r="A439" s="81" t="s">
        <v>259</v>
      </c>
      <c r="B439" s="82">
        <v>1</v>
      </c>
      <c r="C439" s="82">
        <v>5</v>
      </c>
      <c r="D439" s="82">
        <v>2</v>
      </c>
      <c r="E439" s="82">
        <v>0</v>
      </c>
      <c r="F439" s="82">
        <v>2</v>
      </c>
      <c r="G439" s="82">
        <v>3</v>
      </c>
      <c r="H439" s="86" t="s">
        <v>47</v>
      </c>
      <c r="I439" s="82" t="s">
        <v>260</v>
      </c>
      <c r="J439" s="85">
        <f aca="true" t="shared" si="114" ref="J439:O439">J440</f>
        <v>10</v>
      </c>
      <c r="K439" s="85">
        <f>K440</f>
        <v>10</v>
      </c>
      <c r="L439" s="85">
        <f>L440</f>
        <v>10</v>
      </c>
      <c r="M439" s="85">
        <f t="shared" si="114"/>
        <v>10</v>
      </c>
      <c r="N439" s="85">
        <f t="shared" si="114"/>
        <v>10</v>
      </c>
      <c r="O439" s="85">
        <f t="shared" si="114"/>
        <v>10</v>
      </c>
      <c r="P439" s="85">
        <f>P440</f>
        <v>60</v>
      </c>
      <c r="Q439" s="82">
        <v>2021</v>
      </c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</row>
    <row r="440" spans="1:28" s="120" customFormat="1" ht="12.75">
      <c r="A440" s="26" t="s">
        <v>259</v>
      </c>
      <c r="B440" s="29">
        <v>1</v>
      </c>
      <c r="C440" s="29">
        <v>5</v>
      </c>
      <c r="D440" s="29">
        <v>2</v>
      </c>
      <c r="E440" s="29">
        <v>0</v>
      </c>
      <c r="F440" s="29">
        <v>2</v>
      </c>
      <c r="G440" s="29">
        <v>3</v>
      </c>
      <c r="H440" s="19" t="s">
        <v>261</v>
      </c>
      <c r="I440" s="29" t="s">
        <v>260</v>
      </c>
      <c r="J440" s="18">
        <v>10</v>
      </c>
      <c r="K440" s="18">
        <v>10</v>
      </c>
      <c r="L440" s="63">
        <v>10</v>
      </c>
      <c r="M440" s="63">
        <v>10</v>
      </c>
      <c r="N440" s="63">
        <v>10</v>
      </c>
      <c r="O440" s="18">
        <v>10</v>
      </c>
      <c r="P440" s="18">
        <f>SUM(J440:O440)</f>
        <v>60</v>
      </c>
      <c r="Q440" s="29">
        <v>2021</v>
      </c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</row>
    <row r="441" spans="1:17" ht="38.25">
      <c r="A441" s="26" t="s">
        <v>259</v>
      </c>
      <c r="B441" s="29">
        <v>1</v>
      </c>
      <c r="C441" s="29">
        <v>5</v>
      </c>
      <c r="D441" s="29">
        <v>2</v>
      </c>
      <c r="E441" s="29">
        <v>0</v>
      </c>
      <c r="F441" s="29">
        <v>2</v>
      </c>
      <c r="G441" s="64"/>
      <c r="H441" s="8" t="s">
        <v>91</v>
      </c>
      <c r="I441" s="5" t="s">
        <v>290</v>
      </c>
      <c r="J441" s="3">
        <v>1</v>
      </c>
      <c r="K441" s="3">
        <v>1</v>
      </c>
      <c r="L441" s="60">
        <v>0</v>
      </c>
      <c r="M441" s="60">
        <v>0</v>
      </c>
      <c r="N441" s="60">
        <v>0</v>
      </c>
      <c r="O441" s="3">
        <v>0</v>
      </c>
      <c r="P441" s="3">
        <f>SUM(J441:O441)</f>
        <v>2</v>
      </c>
      <c r="Q441" s="5">
        <v>2017</v>
      </c>
    </row>
    <row r="442" spans="1:17" ht="63.75">
      <c r="A442" s="26" t="s">
        <v>259</v>
      </c>
      <c r="B442" s="29">
        <v>1</v>
      </c>
      <c r="C442" s="29">
        <v>5</v>
      </c>
      <c r="D442" s="29">
        <v>2</v>
      </c>
      <c r="E442" s="29">
        <v>0</v>
      </c>
      <c r="F442" s="29">
        <v>2</v>
      </c>
      <c r="G442" s="64"/>
      <c r="H442" s="8" t="s">
        <v>92</v>
      </c>
      <c r="I442" s="5" t="s">
        <v>290</v>
      </c>
      <c r="J442" s="3">
        <v>1</v>
      </c>
      <c r="K442" s="3">
        <v>1</v>
      </c>
      <c r="L442" s="60">
        <v>1</v>
      </c>
      <c r="M442" s="60">
        <v>1</v>
      </c>
      <c r="N442" s="60">
        <v>1</v>
      </c>
      <c r="O442" s="3">
        <v>1</v>
      </c>
      <c r="P442" s="3">
        <f>SUM(J442:O442)</f>
        <v>6</v>
      </c>
      <c r="Q442" s="5">
        <v>2021</v>
      </c>
    </row>
    <row r="443" spans="1:17" ht="38.25">
      <c r="A443" s="26" t="s">
        <v>259</v>
      </c>
      <c r="B443" s="29">
        <v>1</v>
      </c>
      <c r="C443" s="29">
        <v>5</v>
      </c>
      <c r="D443" s="29">
        <v>2</v>
      </c>
      <c r="E443" s="29">
        <v>0</v>
      </c>
      <c r="F443" s="29">
        <v>2</v>
      </c>
      <c r="G443" s="64"/>
      <c r="H443" s="8" t="s">
        <v>179</v>
      </c>
      <c r="I443" s="5" t="s">
        <v>290</v>
      </c>
      <c r="J443" s="3">
        <v>0</v>
      </c>
      <c r="K443" s="3">
        <v>0</v>
      </c>
      <c r="L443" s="60">
        <v>7630</v>
      </c>
      <c r="M443" s="60">
        <v>7650</v>
      </c>
      <c r="N443" s="60">
        <v>7700</v>
      </c>
      <c r="O443" s="3">
        <v>7750</v>
      </c>
      <c r="P443" s="3">
        <f>SUM(J443:O443)</f>
        <v>30730</v>
      </c>
      <c r="Q443" s="5">
        <v>2021</v>
      </c>
    </row>
    <row r="444" spans="1:28" s="120" customFormat="1" ht="38.25">
      <c r="A444" s="75" t="s">
        <v>259</v>
      </c>
      <c r="B444" s="76">
        <v>1</v>
      </c>
      <c r="C444" s="76">
        <v>5</v>
      </c>
      <c r="D444" s="76">
        <v>3</v>
      </c>
      <c r="E444" s="76">
        <v>0</v>
      </c>
      <c r="F444" s="76">
        <v>0</v>
      </c>
      <c r="G444" s="76"/>
      <c r="H444" s="77" t="s">
        <v>188</v>
      </c>
      <c r="I444" s="76" t="s">
        <v>260</v>
      </c>
      <c r="J444" s="78">
        <f aca="true" t="shared" si="115" ref="J444:O444">J445+J446</f>
        <v>59735.7</v>
      </c>
      <c r="K444" s="78">
        <f t="shared" si="115"/>
        <v>90116.3</v>
      </c>
      <c r="L444" s="181">
        <f>L445+L446</f>
        <v>41321.8</v>
      </c>
      <c r="M444" s="78">
        <f>M445+M446</f>
        <v>11199.6</v>
      </c>
      <c r="N444" s="78">
        <f>N445+N446</f>
        <v>11199.6</v>
      </c>
      <c r="O444" s="78">
        <f t="shared" si="115"/>
        <v>263.7</v>
      </c>
      <c r="P444" s="78">
        <f>J444+K444+L444+M444+N444+O444</f>
        <v>213836.7</v>
      </c>
      <c r="Q444" s="76">
        <v>2021</v>
      </c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</row>
    <row r="445" spans="1:28" s="120" customFormat="1" ht="12.75">
      <c r="A445" s="26" t="s">
        <v>259</v>
      </c>
      <c r="B445" s="29">
        <v>1</v>
      </c>
      <c r="C445" s="29">
        <v>5</v>
      </c>
      <c r="D445" s="29">
        <v>3</v>
      </c>
      <c r="E445" s="29">
        <v>0</v>
      </c>
      <c r="F445" s="29">
        <v>0</v>
      </c>
      <c r="G445" s="29">
        <v>3</v>
      </c>
      <c r="H445" s="19" t="s">
        <v>261</v>
      </c>
      <c r="I445" s="29" t="s">
        <v>260</v>
      </c>
      <c r="J445" s="18">
        <f aca="true" t="shared" si="116" ref="J445:O445">J459+J466+J471</f>
        <v>58792.5</v>
      </c>
      <c r="K445" s="18">
        <f t="shared" si="116"/>
        <v>89157.3</v>
      </c>
      <c r="L445" s="148">
        <f>L459+L466+L471</f>
        <v>40155.2</v>
      </c>
      <c r="M445" s="98">
        <f>M459+M466+M471</f>
        <v>10240</v>
      </c>
      <c r="N445" s="98">
        <f>N459+N466+N471</f>
        <v>10240</v>
      </c>
      <c r="O445" s="18">
        <f t="shared" si="116"/>
        <v>263.7</v>
      </c>
      <c r="P445" s="63">
        <f>J445+K445+L445+M445+N445+O445</f>
        <v>208848.7</v>
      </c>
      <c r="Q445" s="29">
        <v>2021</v>
      </c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</row>
    <row r="446" spans="1:28" s="120" customFormat="1" ht="12.75">
      <c r="A446" s="26" t="s">
        <v>259</v>
      </c>
      <c r="B446" s="29">
        <v>1</v>
      </c>
      <c r="C446" s="29">
        <v>5</v>
      </c>
      <c r="D446" s="29">
        <v>3</v>
      </c>
      <c r="E446" s="29">
        <v>0</v>
      </c>
      <c r="F446" s="29">
        <v>0</v>
      </c>
      <c r="G446" s="29">
        <v>2</v>
      </c>
      <c r="H446" s="19" t="s">
        <v>262</v>
      </c>
      <c r="I446" s="29" t="s">
        <v>260</v>
      </c>
      <c r="J446" s="18">
        <f aca="true" t="shared" si="117" ref="J446:O446">J454</f>
        <v>943.2</v>
      </c>
      <c r="K446" s="18">
        <f t="shared" si="117"/>
        <v>959</v>
      </c>
      <c r="L446" s="148">
        <f>L454</f>
        <v>1166.6</v>
      </c>
      <c r="M446" s="98">
        <f>M454</f>
        <v>959.6</v>
      </c>
      <c r="N446" s="98">
        <f>N454</f>
        <v>959.6</v>
      </c>
      <c r="O446" s="18">
        <f t="shared" si="117"/>
        <v>0</v>
      </c>
      <c r="P446" s="63">
        <f>J446+K446+L446+M446+N446+O446</f>
        <v>4988</v>
      </c>
      <c r="Q446" s="29">
        <v>2020</v>
      </c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</row>
    <row r="447" spans="1:17" ht="76.5">
      <c r="A447" s="26" t="s">
        <v>259</v>
      </c>
      <c r="B447" s="29">
        <v>1</v>
      </c>
      <c r="C447" s="29">
        <v>5</v>
      </c>
      <c r="D447" s="29">
        <v>3</v>
      </c>
      <c r="E447" s="29">
        <v>0</v>
      </c>
      <c r="F447" s="29">
        <v>0</v>
      </c>
      <c r="G447" s="5"/>
      <c r="H447" s="8" t="s">
        <v>189</v>
      </c>
      <c r="I447" s="5" t="s">
        <v>93</v>
      </c>
      <c r="J447" s="7">
        <v>100</v>
      </c>
      <c r="K447" s="7">
        <v>100</v>
      </c>
      <c r="L447" s="62">
        <v>100</v>
      </c>
      <c r="M447" s="62">
        <v>100</v>
      </c>
      <c r="N447" s="62">
        <v>100</v>
      </c>
      <c r="O447" s="7">
        <v>100</v>
      </c>
      <c r="P447" s="7">
        <v>100</v>
      </c>
      <c r="Q447" s="5">
        <v>2021</v>
      </c>
    </row>
    <row r="448" spans="1:17" ht="89.25">
      <c r="A448" s="26" t="s">
        <v>259</v>
      </c>
      <c r="B448" s="29">
        <v>1</v>
      </c>
      <c r="C448" s="29">
        <v>5</v>
      </c>
      <c r="D448" s="29">
        <v>3</v>
      </c>
      <c r="E448" s="29">
        <v>0</v>
      </c>
      <c r="F448" s="29">
        <v>0</v>
      </c>
      <c r="G448" s="5"/>
      <c r="H448" s="8" t="s">
        <v>190</v>
      </c>
      <c r="I448" s="5" t="s">
        <v>93</v>
      </c>
      <c r="J448" s="7">
        <v>100</v>
      </c>
      <c r="K448" s="7">
        <v>100</v>
      </c>
      <c r="L448" s="62">
        <v>100</v>
      </c>
      <c r="M448" s="62">
        <v>100</v>
      </c>
      <c r="N448" s="62">
        <v>100</v>
      </c>
      <c r="O448" s="7">
        <v>100</v>
      </c>
      <c r="P448" s="7">
        <v>100</v>
      </c>
      <c r="Q448" s="5">
        <v>2021</v>
      </c>
    </row>
    <row r="449" spans="1:17" ht="89.25">
      <c r="A449" s="26" t="s">
        <v>259</v>
      </c>
      <c r="B449" s="29">
        <v>1</v>
      </c>
      <c r="C449" s="29">
        <v>5</v>
      </c>
      <c r="D449" s="29">
        <v>3</v>
      </c>
      <c r="E449" s="29">
        <v>0</v>
      </c>
      <c r="F449" s="29">
        <v>0</v>
      </c>
      <c r="G449" s="5"/>
      <c r="H449" s="8" t="s">
        <v>191</v>
      </c>
      <c r="I449" s="5" t="s">
        <v>93</v>
      </c>
      <c r="J449" s="7">
        <v>90</v>
      </c>
      <c r="K449" s="7">
        <v>100</v>
      </c>
      <c r="L449" s="62">
        <v>95.9</v>
      </c>
      <c r="M449" s="62">
        <v>100</v>
      </c>
      <c r="N449" s="62">
        <v>90</v>
      </c>
      <c r="O449" s="7">
        <v>100</v>
      </c>
      <c r="P449" s="7">
        <v>100</v>
      </c>
      <c r="Q449" s="5">
        <v>2021</v>
      </c>
    </row>
    <row r="450" spans="1:17" ht="76.5">
      <c r="A450" s="26" t="s">
        <v>259</v>
      </c>
      <c r="B450" s="29">
        <v>1</v>
      </c>
      <c r="C450" s="29">
        <v>5</v>
      </c>
      <c r="D450" s="29">
        <v>3</v>
      </c>
      <c r="E450" s="29">
        <v>0</v>
      </c>
      <c r="F450" s="29">
        <v>0</v>
      </c>
      <c r="G450" s="5"/>
      <c r="H450" s="8" t="s">
        <v>192</v>
      </c>
      <c r="I450" s="5" t="s">
        <v>93</v>
      </c>
      <c r="J450" s="7">
        <v>100</v>
      </c>
      <c r="K450" s="7">
        <v>100</v>
      </c>
      <c r="L450" s="62">
        <v>100</v>
      </c>
      <c r="M450" s="62">
        <v>100</v>
      </c>
      <c r="N450" s="62">
        <v>100</v>
      </c>
      <c r="O450" s="7">
        <v>100</v>
      </c>
      <c r="P450" s="7">
        <v>10</v>
      </c>
      <c r="Q450" s="5">
        <v>2021</v>
      </c>
    </row>
    <row r="451" spans="1:17" ht="38.25">
      <c r="A451" s="61" t="s">
        <v>259</v>
      </c>
      <c r="B451" s="54">
        <v>1</v>
      </c>
      <c r="C451" s="54">
        <v>5</v>
      </c>
      <c r="D451" s="54">
        <v>3</v>
      </c>
      <c r="E451" s="54">
        <v>0</v>
      </c>
      <c r="F451" s="54">
        <v>1</v>
      </c>
      <c r="G451" s="58"/>
      <c r="H451" s="59" t="s">
        <v>88</v>
      </c>
      <c r="I451" s="58" t="s">
        <v>275</v>
      </c>
      <c r="J451" s="55" t="s">
        <v>276</v>
      </c>
      <c r="K451" s="55" t="s">
        <v>276</v>
      </c>
      <c r="L451" s="192" t="s">
        <v>276</v>
      </c>
      <c r="M451" s="55" t="s">
        <v>276</v>
      </c>
      <c r="N451" s="55" t="s">
        <v>276</v>
      </c>
      <c r="O451" s="55" t="s">
        <v>276</v>
      </c>
      <c r="P451" s="55" t="s">
        <v>276</v>
      </c>
      <c r="Q451" s="54">
        <v>2021</v>
      </c>
    </row>
    <row r="452" spans="1:17" ht="51">
      <c r="A452" s="26" t="s">
        <v>259</v>
      </c>
      <c r="B452" s="29">
        <v>1</v>
      </c>
      <c r="C452" s="29">
        <v>5</v>
      </c>
      <c r="D452" s="29">
        <v>3</v>
      </c>
      <c r="E452" s="29">
        <v>0</v>
      </c>
      <c r="F452" s="29">
        <v>1</v>
      </c>
      <c r="G452" s="5"/>
      <c r="H452" s="8" t="s">
        <v>211</v>
      </c>
      <c r="I452" s="5" t="s">
        <v>279</v>
      </c>
      <c r="J452" s="3">
        <v>25</v>
      </c>
      <c r="K452" s="3">
        <v>26</v>
      </c>
      <c r="L452" s="157">
        <v>27</v>
      </c>
      <c r="M452" s="60">
        <v>28</v>
      </c>
      <c r="N452" s="60">
        <v>28</v>
      </c>
      <c r="O452" s="3">
        <v>28</v>
      </c>
      <c r="P452" s="3">
        <f>SUM(J452:O452)</f>
        <v>162</v>
      </c>
      <c r="Q452" s="5">
        <v>2021</v>
      </c>
    </row>
    <row r="453" spans="1:28" s="120" customFormat="1" ht="63.75">
      <c r="A453" s="81" t="s">
        <v>259</v>
      </c>
      <c r="B453" s="82">
        <v>1</v>
      </c>
      <c r="C453" s="82">
        <v>5</v>
      </c>
      <c r="D453" s="82">
        <v>3</v>
      </c>
      <c r="E453" s="82">
        <v>0</v>
      </c>
      <c r="F453" s="82">
        <v>2</v>
      </c>
      <c r="G453" s="82"/>
      <c r="H453" s="86" t="s">
        <v>89</v>
      </c>
      <c r="I453" s="82" t="s">
        <v>260</v>
      </c>
      <c r="J453" s="85">
        <f aca="true" t="shared" si="118" ref="J453:O453">J454</f>
        <v>943.2</v>
      </c>
      <c r="K453" s="85">
        <f t="shared" si="118"/>
        <v>959</v>
      </c>
      <c r="L453" s="195">
        <f t="shared" si="118"/>
        <v>1166.6</v>
      </c>
      <c r="M453" s="85">
        <f t="shared" si="118"/>
        <v>959.6</v>
      </c>
      <c r="N453" s="85">
        <f t="shared" si="118"/>
        <v>959.6</v>
      </c>
      <c r="O453" s="85">
        <f t="shared" si="118"/>
        <v>0</v>
      </c>
      <c r="P453" s="85">
        <f>SUM(J453:O453)</f>
        <v>4988</v>
      </c>
      <c r="Q453" s="82">
        <v>2020</v>
      </c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</row>
    <row r="454" spans="1:28" s="120" customFormat="1" ht="12.75">
      <c r="A454" s="26" t="s">
        <v>259</v>
      </c>
      <c r="B454" s="29">
        <v>1</v>
      </c>
      <c r="C454" s="29">
        <v>5</v>
      </c>
      <c r="D454" s="29">
        <v>3</v>
      </c>
      <c r="E454" s="29">
        <v>0</v>
      </c>
      <c r="F454" s="29">
        <v>2</v>
      </c>
      <c r="G454" s="29">
        <v>2</v>
      </c>
      <c r="H454" s="19" t="s">
        <v>262</v>
      </c>
      <c r="I454" s="29" t="s">
        <v>260</v>
      </c>
      <c r="J454" s="18">
        <f>J455+J456</f>
        <v>943.2</v>
      </c>
      <c r="K454" s="18">
        <v>959</v>
      </c>
      <c r="L454" s="196">
        <v>1166.6</v>
      </c>
      <c r="M454" s="63">
        <v>959.6</v>
      </c>
      <c r="N454" s="63">
        <v>959.6</v>
      </c>
      <c r="O454" s="18">
        <v>0</v>
      </c>
      <c r="P454" s="18">
        <f>SUM(J454:O454)</f>
        <v>4988</v>
      </c>
      <c r="Q454" s="29">
        <v>2020</v>
      </c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</row>
    <row r="455" spans="1:17" ht="102" customHeight="1">
      <c r="A455" s="26" t="s">
        <v>259</v>
      </c>
      <c r="B455" s="29">
        <v>1</v>
      </c>
      <c r="C455" s="29">
        <v>5</v>
      </c>
      <c r="D455" s="29">
        <v>3</v>
      </c>
      <c r="E455" s="29">
        <v>0</v>
      </c>
      <c r="F455" s="29">
        <v>2</v>
      </c>
      <c r="G455" s="31"/>
      <c r="H455" s="9" t="s">
        <v>175</v>
      </c>
      <c r="I455" s="5" t="s">
        <v>260</v>
      </c>
      <c r="J455" s="4">
        <f>356+170+250+101+65</f>
        <v>942</v>
      </c>
      <c r="K455" s="4">
        <v>0</v>
      </c>
      <c r="L455" s="71">
        <v>0</v>
      </c>
      <c r="M455" s="71">
        <v>0</v>
      </c>
      <c r="N455" s="71">
        <v>0</v>
      </c>
      <c r="O455" s="4">
        <v>0</v>
      </c>
      <c r="P455" s="4">
        <v>942</v>
      </c>
      <c r="Q455" s="5">
        <v>2016</v>
      </c>
    </row>
    <row r="456" spans="1:17" ht="102">
      <c r="A456" s="26" t="s">
        <v>259</v>
      </c>
      <c r="B456" s="29">
        <v>1</v>
      </c>
      <c r="C456" s="29">
        <v>5</v>
      </c>
      <c r="D456" s="29">
        <v>3</v>
      </c>
      <c r="E456" s="29">
        <v>0</v>
      </c>
      <c r="F456" s="29">
        <v>2</v>
      </c>
      <c r="G456" s="31"/>
      <c r="H456" s="9" t="s">
        <v>176</v>
      </c>
      <c r="I456" s="5" t="s">
        <v>260</v>
      </c>
      <c r="J456" s="4">
        <v>1.2</v>
      </c>
      <c r="K456" s="4">
        <v>0</v>
      </c>
      <c r="L456" s="71">
        <v>0</v>
      </c>
      <c r="M456" s="71">
        <v>0</v>
      </c>
      <c r="N456" s="71">
        <v>0</v>
      </c>
      <c r="O456" s="4">
        <v>0</v>
      </c>
      <c r="P456" s="4">
        <v>1.2</v>
      </c>
      <c r="Q456" s="5">
        <v>2016</v>
      </c>
    </row>
    <row r="457" spans="1:17" ht="89.25">
      <c r="A457" s="26" t="s">
        <v>259</v>
      </c>
      <c r="B457" s="29">
        <v>1</v>
      </c>
      <c r="C457" s="29">
        <v>5</v>
      </c>
      <c r="D457" s="29">
        <v>3</v>
      </c>
      <c r="E457" s="29">
        <v>0</v>
      </c>
      <c r="F457" s="29">
        <v>2</v>
      </c>
      <c r="G457" s="31"/>
      <c r="H457" s="9" t="s">
        <v>286</v>
      </c>
      <c r="I457" s="5" t="s">
        <v>279</v>
      </c>
      <c r="J457" s="10">
        <v>0</v>
      </c>
      <c r="K457" s="10">
        <v>30</v>
      </c>
      <c r="L457" s="176">
        <v>32</v>
      </c>
      <c r="M457" s="65">
        <v>0</v>
      </c>
      <c r="N457" s="65">
        <v>0</v>
      </c>
      <c r="O457" s="10">
        <v>0</v>
      </c>
      <c r="P457" s="10">
        <f aca="true" t="shared" si="119" ref="P457:P472">SUM(J457:O457)</f>
        <v>62</v>
      </c>
      <c r="Q457" s="10">
        <v>2018</v>
      </c>
    </row>
    <row r="458" spans="1:28" s="120" customFormat="1" ht="76.5">
      <c r="A458" s="81" t="s">
        <v>259</v>
      </c>
      <c r="B458" s="82">
        <v>1</v>
      </c>
      <c r="C458" s="82">
        <v>5</v>
      </c>
      <c r="D458" s="82">
        <v>3</v>
      </c>
      <c r="E458" s="82">
        <v>0</v>
      </c>
      <c r="F458" s="82">
        <v>3</v>
      </c>
      <c r="G458" s="82">
        <v>3</v>
      </c>
      <c r="H458" s="86" t="s">
        <v>48</v>
      </c>
      <c r="I458" s="82" t="s">
        <v>260</v>
      </c>
      <c r="J458" s="85">
        <f aca="true" t="shared" si="120" ref="J458:O458">J459</f>
        <v>35052.5</v>
      </c>
      <c r="K458" s="85">
        <f>K459</f>
        <v>33138.7</v>
      </c>
      <c r="L458" s="180">
        <f>L459</f>
        <v>39846.7</v>
      </c>
      <c r="M458" s="85">
        <f t="shared" si="120"/>
        <v>10000</v>
      </c>
      <c r="N458" s="85">
        <f t="shared" si="120"/>
        <v>10000</v>
      </c>
      <c r="O458" s="85">
        <f t="shared" si="120"/>
        <v>0</v>
      </c>
      <c r="P458" s="85">
        <f t="shared" si="119"/>
        <v>128037.9</v>
      </c>
      <c r="Q458" s="82">
        <v>2020</v>
      </c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</row>
    <row r="459" spans="1:28" s="120" customFormat="1" ht="12.75">
      <c r="A459" s="26" t="s">
        <v>259</v>
      </c>
      <c r="B459" s="29">
        <v>1</v>
      </c>
      <c r="C459" s="29">
        <v>5</v>
      </c>
      <c r="D459" s="29">
        <v>3</v>
      </c>
      <c r="E459" s="29">
        <v>0</v>
      </c>
      <c r="F459" s="29">
        <v>3</v>
      </c>
      <c r="G459" s="29">
        <v>3</v>
      </c>
      <c r="H459" s="19" t="s">
        <v>261</v>
      </c>
      <c r="I459" s="29" t="s">
        <v>260</v>
      </c>
      <c r="J459" s="18">
        <f>J460+J461</f>
        <v>35052.5</v>
      </c>
      <c r="K459" s="18">
        <v>33138.7</v>
      </c>
      <c r="L459" s="148">
        <v>39846.7</v>
      </c>
      <c r="M459" s="63">
        <v>10000</v>
      </c>
      <c r="N459" s="63">
        <v>10000</v>
      </c>
      <c r="O459" s="18">
        <f>O460+O461</f>
        <v>0</v>
      </c>
      <c r="P459" s="18">
        <f t="shared" si="119"/>
        <v>128037.9</v>
      </c>
      <c r="Q459" s="29">
        <v>2020</v>
      </c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</row>
    <row r="460" spans="1:17" ht="102" customHeight="1">
      <c r="A460" s="26" t="s">
        <v>259</v>
      </c>
      <c r="B460" s="29">
        <v>1</v>
      </c>
      <c r="C460" s="29">
        <v>5</v>
      </c>
      <c r="D460" s="29">
        <v>3</v>
      </c>
      <c r="E460" s="29">
        <v>0</v>
      </c>
      <c r="F460" s="29">
        <v>3</v>
      </c>
      <c r="G460" s="5"/>
      <c r="H460" s="8" t="s">
        <v>181</v>
      </c>
      <c r="I460" s="5" t="s">
        <v>193</v>
      </c>
      <c r="J460" s="7">
        <f>1417.6+6277+5723.4+6004.6</f>
        <v>19422.6</v>
      </c>
      <c r="K460" s="7">
        <v>0</v>
      </c>
      <c r="L460" s="62">
        <v>0</v>
      </c>
      <c r="M460" s="62">
        <v>0</v>
      </c>
      <c r="N460" s="62">
        <v>0</v>
      </c>
      <c r="O460" s="7">
        <v>0</v>
      </c>
      <c r="P460" s="7">
        <f t="shared" si="119"/>
        <v>19422.6</v>
      </c>
      <c r="Q460" s="5">
        <v>2016</v>
      </c>
    </row>
    <row r="461" spans="1:17" ht="114.75">
      <c r="A461" s="26" t="s">
        <v>259</v>
      </c>
      <c r="B461" s="29">
        <v>1</v>
      </c>
      <c r="C461" s="29">
        <v>5</v>
      </c>
      <c r="D461" s="29">
        <v>3</v>
      </c>
      <c r="E461" s="29">
        <v>0</v>
      </c>
      <c r="F461" s="29">
        <v>3</v>
      </c>
      <c r="G461" s="5"/>
      <c r="H461" s="8" t="s">
        <v>101</v>
      </c>
      <c r="I461" s="5" t="s">
        <v>193</v>
      </c>
      <c r="J461" s="7">
        <f>1199.2+5979.6+4276.7+4174.4</f>
        <v>15629.9</v>
      </c>
      <c r="K461" s="7">
        <v>0</v>
      </c>
      <c r="L461" s="62">
        <v>0</v>
      </c>
      <c r="M461" s="62">
        <v>0</v>
      </c>
      <c r="N461" s="62">
        <v>0</v>
      </c>
      <c r="O461" s="7">
        <v>0</v>
      </c>
      <c r="P461" s="7">
        <f t="shared" si="119"/>
        <v>15629.9</v>
      </c>
      <c r="Q461" s="5">
        <v>2016</v>
      </c>
    </row>
    <row r="462" spans="1:17" ht="76.5">
      <c r="A462" s="26" t="s">
        <v>259</v>
      </c>
      <c r="B462" s="29">
        <v>1</v>
      </c>
      <c r="C462" s="29">
        <v>5</v>
      </c>
      <c r="D462" s="29">
        <v>3</v>
      </c>
      <c r="E462" s="29">
        <v>0</v>
      </c>
      <c r="F462" s="29">
        <v>3</v>
      </c>
      <c r="G462" s="5"/>
      <c r="H462" s="8" t="s">
        <v>147</v>
      </c>
      <c r="I462" s="5" t="s">
        <v>279</v>
      </c>
      <c r="J462" s="3">
        <v>0</v>
      </c>
      <c r="K462" s="3">
        <v>1506</v>
      </c>
      <c r="L462" s="154">
        <v>1570</v>
      </c>
      <c r="M462" s="60">
        <v>454</v>
      </c>
      <c r="N462" s="60">
        <v>454</v>
      </c>
      <c r="O462" s="3">
        <v>0</v>
      </c>
      <c r="P462" s="3">
        <f t="shared" si="119"/>
        <v>3984</v>
      </c>
      <c r="Q462" s="5">
        <v>2020</v>
      </c>
    </row>
    <row r="463" spans="1:17" ht="63.75">
      <c r="A463" s="26" t="s">
        <v>259</v>
      </c>
      <c r="B463" s="29">
        <v>1</v>
      </c>
      <c r="C463" s="29">
        <v>5</v>
      </c>
      <c r="D463" s="29">
        <v>3</v>
      </c>
      <c r="E463" s="29">
        <v>0</v>
      </c>
      <c r="F463" s="29">
        <v>3</v>
      </c>
      <c r="G463" s="5"/>
      <c r="H463" s="8" t="s">
        <v>287</v>
      </c>
      <c r="I463" s="5" t="s">
        <v>279</v>
      </c>
      <c r="J463" s="3">
        <v>0</v>
      </c>
      <c r="K463" s="3">
        <v>982</v>
      </c>
      <c r="L463" s="154">
        <v>990</v>
      </c>
      <c r="M463" s="60">
        <v>296</v>
      </c>
      <c r="N463" s="60">
        <v>296</v>
      </c>
      <c r="O463" s="3">
        <v>0</v>
      </c>
      <c r="P463" s="3">
        <f t="shared" si="119"/>
        <v>2564</v>
      </c>
      <c r="Q463" s="5">
        <v>2020</v>
      </c>
    </row>
    <row r="464" spans="1:17" ht="76.5">
      <c r="A464" s="26" t="s">
        <v>259</v>
      </c>
      <c r="B464" s="29">
        <v>1</v>
      </c>
      <c r="C464" s="29">
        <v>5</v>
      </c>
      <c r="D464" s="29">
        <v>3</v>
      </c>
      <c r="E464" s="29">
        <v>0</v>
      </c>
      <c r="F464" s="29">
        <v>3</v>
      </c>
      <c r="G464" s="5"/>
      <c r="H464" s="8" t="s">
        <v>288</v>
      </c>
      <c r="I464" s="5" t="s">
        <v>279</v>
      </c>
      <c r="J464" s="3">
        <v>0</v>
      </c>
      <c r="K464" s="3">
        <v>176</v>
      </c>
      <c r="L464" s="154">
        <v>175</v>
      </c>
      <c r="M464" s="60">
        <v>53</v>
      </c>
      <c r="N464" s="60">
        <v>53</v>
      </c>
      <c r="O464" s="3">
        <v>0</v>
      </c>
      <c r="P464" s="3">
        <f t="shared" si="119"/>
        <v>457</v>
      </c>
      <c r="Q464" s="5">
        <v>2020</v>
      </c>
    </row>
    <row r="465" spans="1:28" s="120" customFormat="1" ht="51">
      <c r="A465" s="81" t="s">
        <v>259</v>
      </c>
      <c r="B465" s="82">
        <v>1</v>
      </c>
      <c r="C465" s="82">
        <v>5</v>
      </c>
      <c r="D465" s="82">
        <v>3</v>
      </c>
      <c r="E465" s="82">
        <v>0</v>
      </c>
      <c r="F465" s="82">
        <v>4</v>
      </c>
      <c r="G465" s="82"/>
      <c r="H465" s="86" t="s">
        <v>371</v>
      </c>
      <c r="I465" s="82" t="s">
        <v>260</v>
      </c>
      <c r="J465" s="85">
        <f aca="true" t="shared" si="121" ref="J465:O465">J466</f>
        <v>227.7</v>
      </c>
      <c r="K465" s="85">
        <f>K466</f>
        <v>240</v>
      </c>
      <c r="L465" s="85">
        <f>L466</f>
        <v>308.5</v>
      </c>
      <c r="M465" s="85">
        <f t="shared" si="121"/>
        <v>240</v>
      </c>
      <c r="N465" s="85">
        <f t="shared" si="121"/>
        <v>240</v>
      </c>
      <c r="O465" s="85">
        <f t="shared" si="121"/>
        <v>263.7</v>
      </c>
      <c r="P465" s="85">
        <f t="shared" si="119"/>
        <v>1519.9</v>
      </c>
      <c r="Q465" s="82">
        <v>2021</v>
      </c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</row>
    <row r="466" spans="1:28" s="120" customFormat="1" ht="12.75">
      <c r="A466" s="26" t="s">
        <v>259</v>
      </c>
      <c r="B466" s="29">
        <v>1</v>
      </c>
      <c r="C466" s="29">
        <v>5</v>
      </c>
      <c r="D466" s="29">
        <v>3</v>
      </c>
      <c r="E466" s="29">
        <v>0</v>
      </c>
      <c r="F466" s="29">
        <v>4</v>
      </c>
      <c r="G466" s="29">
        <v>3</v>
      </c>
      <c r="H466" s="19" t="s">
        <v>261</v>
      </c>
      <c r="I466" s="29" t="s">
        <v>260</v>
      </c>
      <c r="J466" s="18">
        <f>240+8-20.3</f>
        <v>227.7</v>
      </c>
      <c r="K466" s="63">
        <v>240</v>
      </c>
      <c r="L466" s="63">
        <f>308.4+0.07</f>
        <v>308.5</v>
      </c>
      <c r="M466" s="63">
        <v>240</v>
      </c>
      <c r="N466" s="63">
        <v>240</v>
      </c>
      <c r="O466" s="18">
        <v>263.7</v>
      </c>
      <c r="P466" s="18">
        <f t="shared" si="119"/>
        <v>1519.9</v>
      </c>
      <c r="Q466" s="29">
        <v>2021</v>
      </c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</row>
    <row r="467" spans="1:17" ht="51">
      <c r="A467" s="26" t="s">
        <v>259</v>
      </c>
      <c r="B467" s="29">
        <v>1</v>
      </c>
      <c r="C467" s="29">
        <v>5</v>
      </c>
      <c r="D467" s="29">
        <v>3</v>
      </c>
      <c r="E467" s="29">
        <v>0</v>
      </c>
      <c r="F467" s="29">
        <v>4</v>
      </c>
      <c r="G467" s="29">
        <v>3</v>
      </c>
      <c r="H467" s="8" t="s">
        <v>102</v>
      </c>
      <c r="I467" s="5" t="s">
        <v>290</v>
      </c>
      <c r="J467" s="3">
        <v>38</v>
      </c>
      <c r="K467" s="3">
        <v>42</v>
      </c>
      <c r="L467" s="143">
        <v>26</v>
      </c>
      <c r="M467" s="60">
        <v>42</v>
      </c>
      <c r="N467" s="60">
        <v>44</v>
      </c>
      <c r="O467" s="3">
        <v>44</v>
      </c>
      <c r="P467" s="3">
        <f t="shared" si="119"/>
        <v>236</v>
      </c>
      <c r="Q467" s="5">
        <v>2021</v>
      </c>
    </row>
    <row r="468" spans="1:17" ht="63.75">
      <c r="A468" s="26" t="s">
        <v>259</v>
      </c>
      <c r="B468" s="29">
        <v>1</v>
      </c>
      <c r="C468" s="29">
        <v>5</v>
      </c>
      <c r="D468" s="29">
        <v>3</v>
      </c>
      <c r="E468" s="29">
        <v>0</v>
      </c>
      <c r="F468" s="29">
        <v>4</v>
      </c>
      <c r="G468" s="5"/>
      <c r="H468" s="8" t="s">
        <v>194</v>
      </c>
      <c r="I468" s="5" t="s">
        <v>279</v>
      </c>
      <c r="J468" s="3">
        <v>35</v>
      </c>
      <c r="K468" s="3">
        <v>35</v>
      </c>
      <c r="L468" s="60">
        <v>45</v>
      </c>
      <c r="M468" s="60">
        <v>34</v>
      </c>
      <c r="N468" s="60">
        <v>35</v>
      </c>
      <c r="O468" s="3">
        <v>35</v>
      </c>
      <c r="P468" s="3">
        <f t="shared" si="119"/>
        <v>219</v>
      </c>
      <c r="Q468" s="5">
        <v>2021</v>
      </c>
    </row>
    <row r="469" spans="1:17" ht="51">
      <c r="A469" s="26" t="s">
        <v>259</v>
      </c>
      <c r="B469" s="29">
        <v>1</v>
      </c>
      <c r="C469" s="29">
        <v>5</v>
      </c>
      <c r="D469" s="29">
        <v>3</v>
      </c>
      <c r="E469" s="29">
        <v>0</v>
      </c>
      <c r="F469" s="29">
        <v>4</v>
      </c>
      <c r="G469" s="5"/>
      <c r="H469" s="8" t="s">
        <v>195</v>
      </c>
      <c r="I469" s="5" t="s">
        <v>279</v>
      </c>
      <c r="J469" s="3">
        <v>150</v>
      </c>
      <c r="K469" s="3">
        <v>150</v>
      </c>
      <c r="L469" s="60">
        <v>155</v>
      </c>
      <c r="M469" s="60">
        <v>155</v>
      </c>
      <c r="N469" s="60">
        <v>155</v>
      </c>
      <c r="O469" s="3">
        <v>150</v>
      </c>
      <c r="P469" s="3">
        <f t="shared" si="119"/>
        <v>915</v>
      </c>
      <c r="Q469" s="5">
        <v>2021</v>
      </c>
    </row>
    <row r="470" spans="1:28" s="120" customFormat="1" ht="63.75">
      <c r="A470" s="81" t="s">
        <v>259</v>
      </c>
      <c r="B470" s="82">
        <v>1</v>
      </c>
      <c r="C470" s="82">
        <v>5</v>
      </c>
      <c r="D470" s="82">
        <v>3</v>
      </c>
      <c r="E470" s="82">
        <v>0</v>
      </c>
      <c r="F470" s="82">
        <v>5</v>
      </c>
      <c r="G470" s="82">
        <v>3</v>
      </c>
      <c r="H470" s="86" t="s">
        <v>372</v>
      </c>
      <c r="I470" s="82" t="s">
        <v>260</v>
      </c>
      <c r="J470" s="85">
        <f aca="true" t="shared" si="122" ref="J470:O470">J471</f>
        <v>23512.3</v>
      </c>
      <c r="K470" s="85">
        <f>K471</f>
        <v>55778.6</v>
      </c>
      <c r="L470" s="85">
        <f>L471</f>
        <v>0</v>
      </c>
      <c r="M470" s="85">
        <f t="shared" si="122"/>
        <v>0</v>
      </c>
      <c r="N470" s="85">
        <f t="shared" si="122"/>
        <v>0</v>
      </c>
      <c r="O470" s="85">
        <f t="shared" si="122"/>
        <v>0</v>
      </c>
      <c r="P470" s="85">
        <f t="shared" si="119"/>
        <v>79290.9</v>
      </c>
      <c r="Q470" s="82">
        <v>2017</v>
      </c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</row>
    <row r="471" spans="1:28" s="120" customFormat="1" ht="12.75">
      <c r="A471" s="26" t="s">
        <v>259</v>
      </c>
      <c r="B471" s="29">
        <v>1</v>
      </c>
      <c r="C471" s="29">
        <v>5</v>
      </c>
      <c r="D471" s="29">
        <v>3</v>
      </c>
      <c r="E471" s="29">
        <v>0</v>
      </c>
      <c r="F471" s="29">
        <v>5</v>
      </c>
      <c r="G471" s="29">
        <v>3</v>
      </c>
      <c r="H471" s="19" t="s">
        <v>261</v>
      </c>
      <c r="I471" s="29" t="s">
        <v>260</v>
      </c>
      <c r="J471" s="18">
        <f>12000+11512.3</f>
        <v>23512.3</v>
      </c>
      <c r="K471" s="18">
        <v>55778.6</v>
      </c>
      <c r="L471" s="63">
        <v>0</v>
      </c>
      <c r="M471" s="63">
        <v>0</v>
      </c>
      <c r="N471" s="63">
        <v>0</v>
      </c>
      <c r="O471" s="18">
        <v>0</v>
      </c>
      <c r="P471" s="18">
        <f t="shared" si="119"/>
        <v>79290.9</v>
      </c>
      <c r="Q471" s="29">
        <v>2017</v>
      </c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</row>
    <row r="472" spans="1:17" ht="63.75">
      <c r="A472" s="26" t="s">
        <v>259</v>
      </c>
      <c r="B472" s="29">
        <v>1</v>
      </c>
      <c r="C472" s="29">
        <v>5</v>
      </c>
      <c r="D472" s="29">
        <v>3</v>
      </c>
      <c r="E472" s="29">
        <v>0</v>
      </c>
      <c r="F472" s="29">
        <v>5</v>
      </c>
      <c r="G472" s="5"/>
      <c r="H472" s="8" t="s">
        <v>281</v>
      </c>
      <c r="I472" s="5" t="s">
        <v>279</v>
      </c>
      <c r="J472" s="10">
        <v>745</v>
      </c>
      <c r="K472" s="60">
        <v>1323</v>
      </c>
      <c r="L472" s="60">
        <v>0</v>
      </c>
      <c r="M472" s="65">
        <v>0</v>
      </c>
      <c r="N472" s="65">
        <v>0</v>
      </c>
      <c r="O472" s="10">
        <v>0</v>
      </c>
      <c r="P472" s="3">
        <f t="shared" si="119"/>
        <v>2068</v>
      </c>
      <c r="Q472" s="5">
        <v>2017</v>
      </c>
    </row>
    <row r="473" spans="1:28" s="120" customFormat="1" ht="38.25" customHeight="1">
      <c r="A473" s="75" t="s">
        <v>259</v>
      </c>
      <c r="B473" s="76">
        <v>1</v>
      </c>
      <c r="C473" s="76">
        <v>5</v>
      </c>
      <c r="D473" s="76">
        <v>4</v>
      </c>
      <c r="E473" s="76">
        <v>0</v>
      </c>
      <c r="F473" s="76">
        <v>0</v>
      </c>
      <c r="G473" s="76"/>
      <c r="H473" s="77" t="s">
        <v>197</v>
      </c>
      <c r="I473" s="76" t="s">
        <v>260</v>
      </c>
      <c r="J473" s="78">
        <f aca="true" t="shared" si="123" ref="J473:O473">J474</f>
        <v>125</v>
      </c>
      <c r="K473" s="78">
        <f>K474</f>
        <v>125</v>
      </c>
      <c r="L473" s="78">
        <f>L474</f>
        <v>125</v>
      </c>
      <c r="M473" s="78">
        <f t="shared" si="123"/>
        <v>125</v>
      </c>
      <c r="N473" s="78">
        <f t="shared" si="123"/>
        <v>125</v>
      </c>
      <c r="O473" s="78">
        <f t="shared" si="123"/>
        <v>137.3</v>
      </c>
      <c r="P473" s="78">
        <f>J473+K473+L473+M473+N473+O473</f>
        <v>762.3</v>
      </c>
      <c r="Q473" s="76">
        <v>2021</v>
      </c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</row>
    <row r="474" spans="1:28" s="120" customFormat="1" ht="12.75">
      <c r="A474" s="26" t="s">
        <v>259</v>
      </c>
      <c r="B474" s="29">
        <v>1</v>
      </c>
      <c r="C474" s="29">
        <v>5</v>
      </c>
      <c r="D474" s="29">
        <v>4</v>
      </c>
      <c r="E474" s="29">
        <v>0</v>
      </c>
      <c r="F474" s="29">
        <v>0</v>
      </c>
      <c r="G474" s="29"/>
      <c r="H474" s="19" t="s">
        <v>261</v>
      </c>
      <c r="I474" s="29" t="s">
        <v>260</v>
      </c>
      <c r="J474" s="18">
        <f aca="true" t="shared" si="124" ref="J474:O474">J481</f>
        <v>125</v>
      </c>
      <c r="K474" s="18">
        <f t="shared" si="124"/>
        <v>125</v>
      </c>
      <c r="L474" s="63">
        <f>L481</f>
        <v>125</v>
      </c>
      <c r="M474" s="98">
        <f>M481</f>
        <v>125</v>
      </c>
      <c r="N474" s="98">
        <f>N481</f>
        <v>125</v>
      </c>
      <c r="O474" s="18">
        <f t="shared" si="124"/>
        <v>137.3</v>
      </c>
      <c r="P474" s="63">
        <f>J474+K474+L474+M474+N474+O474</f>
        <v>762.3</v>
      </c>
      <c r="Q474" s="32">
        <v>2021</v>
      </c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</row>
    <row r="475" spans="1:17" ht="38.25">
      <c r="A475" s="26" t="s">
        <v>259</v>
      </c>
      <c r="B475" s="29">
        <v>1</v>
      </c>
      <c r="C475" s="29">
        <v>5</v>
      </c>
      <c r="D475" s="29">
        <v>4</v>
      </c>
      <c r="E475" s="29">
        <v>0</v>
      </c>
      <c r="F475" s="29">
        <v>0</v>
      </c>
      <c r="G475" s="29">
        <v>3</v>
      </c>
      <c r="H475" s="8" t="s">
        <v>198</v>
      </c>
      <c r="I475" s="1" t="s">
        <v>265</v>
      </c>
      <c r="J475" s="4">
        <v>70</v>
      </c>
      <c r="K475" s="71">
        <v>79</v>
      </c>
      <c r="L475" s="71">
        <v>78.3</v>
      </c>
      <c r="M475" s="71">
        <v>79</v>
      </c>
      <c r="N475" s="71">
        <v>80.2</v>
      </c>
      <c r="O475" s="4">
        <v>100</v>
      </c>
      <c r="P475" s="4">
        <f>SUM(J475:O475)/6</f>
        <v>81.1</v>
      </c>
      <c r="Q475" s="5">
        <v>2021</v>
      </c>
    </row>
    <row r="476" spans="1:17" ht="51">
      <c r="A476" s="26" t="s">
        <v>259</v>
      </c>
      <c r="B476" s="29">
        <v>1</v>
      </c>
      <c r="C476" s="29">
        <v>5</v>
      </c>
      <c r="D476" s="29">
        <v>4</v>
      </c>
      <c r="E476" s="29">
        <v>0</v>
      </c>
      <c r="F476" s="29">
        <v>0</v>
      </c>
      <c r="G476" s="5"/>
      <c r="H476" s="8" t="s">
        <v>199</v>
      </c>
      <c r="I476" s="1" t="s">
        <v>265</v>
      </c>
      <c r="J476" s="4">
        <v>42.6</v>
      </c>
      <c r="K476" s="4">
        <v>100</v>
      </c>
      <c r="L476" s="71">
        <v>100</v>
      </c>
      <c r="M476" s="71">
        <v>100</v>
      </c>
      <c r="N476" s="71">
        <v>100</v>
      </c>
      <c r="O476" s="4">
        <v>100</v>
      </c>
      <c r="P476" s="4">
        <v>100</v>
      </c>
      <c r="Q476" s="5">
        <v>2021</v>
      </c>
    </row>
    <row r="477" spans="1:17" ht="63.75">
      <c r="A477" s="81" t="s">
        <v>259</v>
      </c>
      <c r="B477" s="82">
        <v>1</v>
      </c>
      <c r="C477" s="82">
        <v>5</v>
      </c>
      <c r="D477" s="82">
        <v>4</v>
      </c>
      <c r="E477" s="82">
        <v>0</v>
      </c>
      <c r="F477" s="82">
        <v>1</v>
      </c>
      <c r="G477" s="83"/>
      <c r="H477" s="84" t="s">
        <v>49</v>
      </c>
      <c r="I477" s="83" t="s">
        <v>275</v>
      </c>
      <c r="J477" s="85" t="s">
        <v>276</v>
      </c>
      <c r="K477" s="85" t="s">
        <v>276</v>
      </c>
      <c r="L477" s="85" t="s">
        <v>276</v>
      </c>
      <c r="M477" s="85" t="s">
        <v>276</v>
      </c>
      <c r="N477" s="85" t="s">
        <v>276</v>
      </c>
      <c r="O477" s="85" t="s">
        <v>276</v>
      </c>
      <c r="P477" s="85" t="s">
        <v>276</v>
      </c>
      <c r="Q477" s="82">
        <v>2021</v>
      </c>
    </row>
    <row r="478" spans="1:17" ht="51">
      <c r="A478" s="26" t="s">
        <v>259</v>
      </c>
      <c r="B478" s="29">
        <v>1</v>
      </c>
      <c r="C478" s="29">
        <v>5</v>
      </c>
      <c r="D478" s="29">
        <v>4</v>
      </c>
      <c r="E478" s="29">
        <v>0</v>
      </c>
      <c r="F478" s="29">
        <v>1</v>
      </c>
      <c r="G478" s="5"/>
      <c r="H478" s="8" t="s">
        <v>200</v>
      </c>
      <c r="I478" s="1" t="s">
        <v>94</v>
      </c>
      <c r="J478" s="1">
        <v>1</v>
      </c>
      <c r="K478" s="1">
        <v>1</v>
      </c>
      <c r="L478" s="67">
        <v>1</v>
      </c>
      <c r="M478" s="67">
        <v>1</v>
      </c>
      <c r="N478" s="67">
        <v>1</v>
      </c>
      <c r="O478" s="1">
        <v>1</v>
      </c>
      <c r="P478" s="1">
        <f>SUM(J478:O478)</f>
        <v>6</v>
      </c>
      <c r="Q478" s="5">
        <v>2021</v>
      </c>
    </row>
    <row r="479" spans="1:17" ht="38.25">
      <c r="A479" s="26" t="s">
        <v>259</v>
      </c>
      <c r="B479" s="29">
        <v>1</v>
      </c>
      <c r="C479" s="29">
        <v>5</v>
      </c>
      <c r="D479" s="29">
        <v>4</v>
      </c>
      <c r="E479" s="29">
        <v>0</v>
      </c>
      <c r="F479" s="29">
        <v>1</v>
      </c>
      <c r="G479" s="5"/>
      <c r="H479" s="8" t="s">
        <v>18</v>
      </c>
      <c r="I479" s="5" t="s">
        <v>290</v>
      </c>
      <c r="J479" s="3">
        <v>29</v>
      </c>
      <c r="K479" s="3">
        <v>60</v>
      </c>
      <c r="L479" s="60">
        <v>61</v>
      </c>
      <c r="M479" s="60">
        <v>68</v>
      </c>
      <c r="N479" s="60">
        <v>68</v>
      </c>
      <c r="O479" s="3">
        <v>68</v>
      </c>
      <c r="P479" s="3">
        <v>68</v>
      </c>
      <c r="Q479" s="5">
        <v>2021</v>
      </c>
    </row>
    <row r="480" spans="1:28" s="120" customFormat="1" ht="63.75">
      <c r="A480" s="81" t="s">
        <v>259</v>
      </c>
      <c r="B480" s="82">
        <v>1</v>
      </c>
      <c r="C480" s="82">
        <v>5</v>
      </c>
      <c r="D480" s="82">
        <v>4</v>
      </c>
      <c r="E480" s="82">
        <v>0</v>
      </c>
      <c r="F480" s="82">
        <v>2</v>
      </c>
      <c r="G480" s="82"/>
      <c r="H480" s="86" t="s">
        <v>50</v>
      </c>
      <c r="I480" s="82" t="s">
        <v>260</v>
      </c>
      <c r="J480" s="85">
        <f aca="true" t="shared" si="125" ref="J480:O480">J481</f>
        <v>125</v>
      </c>
      <c r="K480" s="85">
        <f>K481</f>
        <v>125</v>
      </c>
      <c r="L480" s="85">
        <f>L481</f>
        <v>125</v>
      </c>
      <c r="M480" s="85">
        <f t="shared" si="125"/>
        <v>125</v>
      </c>
      <c r="N480" s="85">
        <f t="shared" si="125"/>
        <v>125</v>
      </c>
      <c r="O480" s="85">
        <f t="shared" si="125"/>
        <v>137.3</v>
      </c>
      <c r="P480" s="85">
        <f>SUM(J480:O480)</f>
        <v>762.3</v>
      </c>
      <c r="Q480" s="82">
        <v>2021</v>
      </c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</row>
    <row r="481" spans="1:28" s="120" customFormat="1" ht="12.75">
      <c r="A481" s="26" t="s">
        <v>259</v>
      </c>
      <c r="B481" s="29">
        <v>1</v>
      </c>
      <c r="C481" s="29">
        <v>5</v>
      </c>
      <c r="D481" s="29">
        <v>4</v>
      </c>
      <c r="E481" s="29">
        <v>0</v>
      </c>
      <c r="F481" s="29">
        <v>2</v>
      </c>
      <c r="G481" s="29"/>
      <c r="H481" s="19" t="s">
        <v>261</v>
      </c>
      <c r="I481" s="29" t="s">
        <v>260</v>
      </c>
      <c r="J481" s="18">
        <v>125</v>
      </c>
      <c r="K481" s="63">
        <v>125</v>
      </c>
      <c r="L481" s="63">
        <v>125</v>
      </c>
      <c r="M481" s="63">
        <v>125</v>
      </c>
      <c r="N481" s="63">
        <v>125</v>
      </c>
      <c r="O481" s="18">
        <v>137.3</v>
      </c>
      <c r="P481" s="18">
        <f>SUM(J481:O481)</f>
        <v>762.3</v>
      </c>
      <c r="Q481" s="29">
        <v>2021</v>
      </c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</row>
    <row r="482" spans="1:17" ht="51">
      <c r="A482" s="26" t="s">
        <v>259</v>
      </c>
      <c r="B482" s="29">
        <v>1</v>
      </c>
      <c r="C482" s="29">
        <v>5</v>
      </c>
      <c r="D482" s="29">
        <v>4</v>
      </c>
      <c r="E482" s="29">
        <v>0</v>
      </c>
      <c r="F482" s="29">
        <v>2</v>
      </c>
      <c r="G482" s="29">
        <v>3</v>
      </c>
      <c r="H482" s="8" t="s">
        <v>201</v>
      </c>
      <c r="I482" s="5" t="s">
        <v>290</v>
      </c>
      <c r="J482" s="3">
        <v>2</v>
      </c>
      <c r="K482" s="60">
        <v>2</v>
      </c>
      <c r="L482" s="60">
        <v>4</v>
      </c>
      <c r="M482" s="60">
        <v>2</v>
      </c>
      <c r="N482" s="60">
        <v>2</v>
      </c>
      <c r="O482" s="3">
        <v>2</v>
      </c>
      <c r="P482" s="3">
        <f>SUM(J482:O482)</f>
        <v>14</v>
      </c>
      <c r="Q482" s="5">
        <v>2021</v>
      </c>
    </row>
    <row r="483" spans="1:17" ht="51">
      <c r="A483" s="26" t="s">
        <v>259</v>
      </c>
      <c r="B483" s="29">
        <v>1</v>
      </c>
      <c r="C483" s="29">
        <v>5</v>
      </c>
      <c r="D483" s="29">
        <v>4</v>
      </c>
      <c r="E483" s="29">
        <v>0</v>
      </c>
      <c r="F483" s="29">
        <v>2</v>
      </c>
      <c r="G483" s="5"/>
      <c r="H483" s="8" t="s">
        <v>202</v>
      </c>
      <c r="I483" s="5" t="s">
        <v>290</v>
      </c>
      <c r="J483" s="3">
        <v>3</v>
      </c>
      <c r="K483" s="3">
        <v>3</v>
      </c>
      <c r="L483" s="60">
        <v>11</v>
      </c>
      <c r="M483" s="60">
        <v>3</v>
      </c>
      <c r="N483" s="60">
        <v>3</v>
      </c>
      <c r="O483" s="3">
        <v>3</v>
      </c>
      <c r="P483" s="3">
        <f>SUM(J483:O483)</f>
        <v>26</v>
      </c>
      <c r="Q483" s="5">
        <v>2021</v>
      </c>
    </row>
    <row r="484" spans="1:28" s="120" customFormat="1" ht="30" customHeight="1">
      <c r="A484" s="73" t="s">
        <v>259</v>
      </c>
      <c r="B484" s="56">
        <v>1</v>
      </c>
      <c r="C484" s="56">
        <v>9</v>
      </c>
      <c r="D484" s="56">
        <v>0</v>
      </c>
      <c r="E484" s="56">
        <v>0</v>
      </c>
      <c r="F484" s="56">
        <v>0</v>
      </c>
      <c r="G484" s="56"/>
      <c r="H484" s="74" t="s">
        <v>203</v>
      </c>
      <c r="I484" s="56" t="s">
        <v>260</v>
      </c>
      <c r="J484" s="57">
        <f aca="true" t="shared" si="126" ref="J484:O484">J485+J486</f>
        <v>56709</v>
      </c>
      <c r="K484" s="57">
        <f t="shared" si="126"/>
        <v>54057.3</v>
      </c>
      <c r="L484" s="138">
        <f>L485+L486</f>
        <v>57263.9</v>
      </c>
      <c r="M484" s="57">
        <f>M485+M486</f>
        <v>56429.4</v>
      </c>
      <c r="N484" s="57">
        <f>N485+N486</f>
        <v>56429.4</v>
      </c>
      <c r="O484" s="57">
        <f t="shared" si="126"/>
        <v>62020.9</v>
      </c>
      <c r="P484" s="57">
        <f>J484+K484+L484+M484+N484+O484</f>
        <v>342909.9</v>
      </c>
      <c r="Q484" s="56">
        <v>2021</v>
      </c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</row>
    <row r="485" spans="1:28" s="120" customFormat="1" ht="12.75">
      <c r="A485" s="26" t="s">
        <v>259</v>
      </c>
      <c r="B485" s="29">
        <v>1</v>
      </c>
      <c r="C485" s="29">
        <v>9</v>
      </c>
      <c r="D485" s="29">
        <v>0</v>
      </c>
      <c r="E485" s="29">
        <v>0</v>
      </c>
      <c r="F485" s="29">
        <v>0</v>
      </c>
      <c r="G485" s="29"/>
      <c r="H485" s="19" t="s">
        <v>261</v>
      </c>
      <c r="I485" s="29" t="s">
        <v>260</v>
      </c>
      <c r="J485" s="18">
        <f aca="true" t="shared" si="127" ref="J485:O485">J489</f>
        <v>56709</v>
      </c>
      <c r="K485" s="18">
        <f t="shared" si="127"/>
        <v>54057.3</v>
      </c>
      <c r="L485" s="148">
        <f aca="true" t="shared" si="128" ref="L485:N486">L489</f>
        <v>57003</v>
      </c>
      <c r="M485" s="18">
        <f t="shared" si="128"/>
        <v>56429.4</v>
      </c>
      <c r="N485" s="18">
        <f t="shared" si="128"/>
        <v>56429.4</v>
      </c>
      <c r="O485" s="18">
        <f t="shared" si="127"/>
        <v>62020.9</v>
      </c>
      <c r="P485" s="63">
        <f>J485+K485+L485+M485+N485+O485</f>
        <v>342649</v>
      </c>
      <c r="Q485" s="29">
        <v>2021</v>
      </c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</row>
    <row r="486" spans="1:28" s="120" customFormat="1" ht="12.75">
      <c r="A486" s="26" t="s">
        <v>259</v>
      </c>
      <c r="B486" s="29">
        <v>1</v>
      </c>
      <c r="C486" s="29">
        <v>9</v>
      </c>
      <c r="D486" s="29">
        <v>0</v>
      </c>
      <c r="E486" s="29">
        <v>0</v>
      </c>
      <c r="F486" s="29">
        <v>0</v>
      </c>
      <c r="G486" s="29"/>
      <c r="H486" s="19" t="s">
        <v>209</v>
      </c>
      <c r="I486" s="29" t="s">
        <v>260</v>
      </c>
      <c r="J486" s="18">
        <f>J490</f>
        <v>0</v>
      </c>
      <c r="K486" s="18">
        <f aca="true" t="shared" si="129" ref="K486:P486">K490</f>
        <v>0</v>
      </c>
      <c r="L486" s="148">
        <f t="shared" si="128"/>
        <v>260.9</v>
      </c>
      <c r="M486" s="18">
        <f t="shared" si="128"/>
        <v>0</v>
      </c>
      <c r="N486" s="18">
        <f t="shared" si="128"/>
        <v>0</v>
      </c>
      <c r="O486" s="18">
        <f t="shared" si="129"/>
        <v>0</v>
      </c>
      <c r="P486" s="18">
        <f t="shared" si="129"/>
        <v>260.9</v>
      </c>
      <c r="Q486" s="29">
        <v>2018</v>
      </c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</row>
    <row r="487" spans="1:28" s="120" customFormat="1" ht="63.75">
      <c r="A487" s="75" t="s">
        <v>259</v>
      </c>
      <c r="B487" s="76">
        <v>1</v>
      </c>
      <c r="C487" s="76">
        <v>9</v>
      </c>
      <c r="D487" s="76">
        <v>1</v>
      </c>
      <c r="E487" s="76">
        <v>0</v>
      </c>
      <c r="F487" s="76">
        <v>0</v>
      </c>
      <c r="G487" s="76">
        <v>3</v>
      </c>
      <c r="H487" s="77" t="s">
        <v>148</v>
      </c>
      <c r="I487" s="76" t="s">
        <v>260</v>
      </c>
      <c r="J487" s="78">
        <f aca="true" t="shared" si="130" ref="J487:O487">J488</f>
        <v>56709</v>
      </c>
      <c r="K487" s="78">
        <f t="shared" si="130"/>
        <v>54057.3</v>
      </c>
      <c r="L487" s="181">
        <f>L488</f>
        <v>57263.9</v>
      </c>
      <c r="M487" s="78">
        <f t="shared" si="130"/>
        <v>56429.4</v>
      </c>
      <c r="N487" s="78">
        <f t="shared" si="130"/>
        <v>56429.4</v>
      </c>
      <c r="O487" s="78">
        <f t="shared" si="130"/>
        <v>62020.9</v>
      </c>
      <c r="P487" s="78">
        <f>J487+K487+L487+M487+N487+O487</f>
        <v>342909.9</v>
      </c>
      <c r="Q487" s="76">
        <v>2021</v>
      </c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</row>
    <row r="488" spans="1:28" s="120" customFormat="1" ht="38.25">
      <c r="A488" s="81" t="s">
        <v>259</v>
      </c>
      <c r="B488" s="82">
        <v>1</v>
      </c>
      <c r="C488" s="82">
        <v>9</v>
      </c>
      <c r="D488" s="82">
        <v>1</v>
      </c>
      <c r="E488" s="82">
        <v>0</v>
      </c>
      <c r="F488" s="82">
        <v>1</v>
      </c>
      <c r="G488" s="82"/>
      <c r="H488" s="86" t="s">
        <v>11</v>
      </c>
      <c r="I488" s="82" t="s">
        <v>260</v>
      </c>
      <c r="J488" s="103">
        <f aca="true" t="shared" si="131" ref="J488:O488">J489+J490</f>
        <v>56709</v>
      </c>
      <c r="K488" s="103">
        <f t="shared" si="131"/>
        <v>54057.3</v>
      </c>
      <c r="L488" s="194">
        <f>L489+L490</f>
        <v>57263.9</v>
      </c>
      <c r="M488" s="103">
        <f>M489+M490</f>
        <v>56429.4</v>
      </c>
      <c r="N488" s="103">
        <f>N489+N490</f>
        <v>56429.4</v>
      </c>
      <c r="O488" s="103">
        <f t="shared" si="131"/>
        <v>62020.9</v>
      </c>
      <c r="P488" s="85">
        <f>J488+K488+L488+M488+N488+O488</f>
        <v>342909.9</v>
      </c>
      <c r="Q488" s="82">
        <v>2021</v>
      </c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</row>
    <row r="489" spans="1:17" s="111" customFormat="1" ht="12.75">
      <c r="A489" s="108" t="s">
        <v>259</v>
      </c>
      <c r="B489" s="109">
        <v>1</v>
      </c>
      <c r="C489" s="109">
        <v>9</v>
      </c>
      <c r="D489" s="109">
        <v>1</v>
      </c>
      <c r="E489" s="109">
        <v>0</v>
      </c>
      <c r="F489" s="109">
        <v>1</v>
      </c>
      <c r="G489" s="109"/>
      <c r="H489" s="19" t="s">
        <v>261</v>
      </c>
      <c r="I489" s="29" t="s">
        <v>260</v>
      </c>
      <c r="J489" s="110">
        <v>56709</v>
      </c>
      <c r="K489" s="110">
        <v>54057.3</v>
      </c>
      <c r="L489" s="172">
        <v>57003</v>
      </c>
      <c r="M489" s="110">
        <v>56429.4</v>
      </c>
      <c r="N489" s="110">
        <v>56429.4</v>
      </c>
      <c r="O489" s="110">
        <v>62020.9</v>
      </c>
      <c r="P489" s="63">
        <f>J489+K489+L489+M489+N489+O489</f>
        <v>342649</v>
      </c>
      <c r="Q489" s="109">
        <v>2021</v>
      </c>
    </row>
    <row r="490" spans="1:17" s="111" customFormat="1" ht="12.75">
      <c r="A490" s="108" t="s">
        <v>259</v>
      </c>
      <c r="B490" s="109">
        <v>1</v>
      </c>
      <c r="C490" s="109">
        <v>9</v>
      </c>
      <c r="D490" s="109">
        <v>1</v>
      </c>
      <c r="E490" s="109">
        <v>0</v>
      </c>
      <c r="F490" s="109">
        <v>1</v>
      </c>
      <c r="G490" s="109"/>
      <c r="H490" s="19" t="s">
        <v>209</v>
      </c>
      <c r="I490" s="29" t="s">
        <v>260</v>
      </c>
      <c r="J490" s="110">
        <v>0</v>
      </c>
      <c r="K490" s="110">
        <v>0</v>
      </c>
      <c r="L490" s="172">
        <v>260.9</v>
      </c>
      <c r="M490" s="110">
        <v>0</v>
      </c>
      <c r="N490" s="110">
        <v>0</v>
      </c>
      <c r="O490" s="110">
        <v>0</v>
      </c>
      <c r="P490" s="63">
        <f>J490+K490+L490+M490+N490+O490</f>
        <v>260.9</v>
      </c>
      <c r="Q490" s="29">
        <v>2018</v>
      </c>
    </row>
    <row r="491" spans="1:28" s="120" customFormat="1" ht="12.75">
      <c r="A491" s="26" t="s">
        <v>259</v>
      </c>
      <c r="B491" s="29">
        <v>1</v>
      </c>
      <c r="C491" s="29">
        <v>9</v>
      </c>
      <c r="D491" s="29">
        <v>2</v>
      </c>
      <c r="E491" s="29">
        <v>0</v>
      </c>
      <c r="F491" s="29">
        <v>0</v>
      </c>
      <c r="G491" s="29"/>
      <c r="H491" s="19" t="s">
        <v>12</v>
      </c>
      <c r="I491" s="29"/>
      <c r="J491" s="18"/>
      <c r="K491" s="18"/>
      <c r="L491" s="148"/>
      <c r="M491" s="63"/>
      <c r="N491" s="63"/>
      <c r="O491" s="18"/>
      <c r="P491" s="18"/>
      <c r="Q491" s="2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</row>
    <row r="492" spans="1:17" ht="63.75">
      <c r="A492" s="26" t="s">
        <v>259</v>
      </c>
      <c r="B492" s="29">
        <v>1</v>
      </c>
      <c r="C492" s="29">
        <v>9</v>
      </c>
      <c r="D492" s="29">
        <v>2</v>
      </c>
      <c r="E492" s="29">
        <v>0</v>
      </c>
      <c r="F492" s="29">
        <v>1</v>
      </c>
      <c r="G492" s="29"/>
      <c r="H492" s="8" t="s">
        <v>13</v>
      </c>
      <c r="I492" s="5" t="s">
        <v>275</v>
      </c>
      <c r="J492" s="7" t="s">
        <v>276</v>
      </c>
      <c r="K492" s="7" t="s">
        <v>276</v>
      </c>
      <c r="L492" s="62" t="s">
        <v>276</v>
      </c>
      <c r="M492" s="62" t="s">
        <v>276</v>
      </c>
      <c r="N492" s="62" t="s">
        <v>276</v>
      </c>
      <c r="O492" s="7" t="s">
        <v>276</v>
      </c>
      <c r="P492" s="7" t="s">
        <v>276</v>
      </c>
      <c r="Q492" s="5">
        <v>2021</v>
      </c>
    </row>
    <row r="493" spans="1:17" ht="51">
      <c r="A493" s="26" t="s">
        <v>259</v>
      </c>
      <c r="B493" s="29">
        <v>1</v>
      </c>
      <c r="C493" s="29">
        <v>9</v>
      </c>
      <c r="D493" s="29">
        <v>2</v>
      </c>
      <c r="E493" s="29">
        <v>0</v>
      </c>
      <c r="F493" s="29">
        <v>1</v>
      </c>
      <c r="G493" s="5"/>
      <c r="H493" s="8" t="s">
        <v>204</v>
      </c>
      <c r="I493" s="5" t="s">
        <v>290</v>
      </c>
      <c r="J493" s="3">
        <v>10</v>
      </c>
      <c r="K493" s="3">
        <v>10</v>
      </c>
      <c r="L493" s="60">
        <v>10</v>
      </c>
      <c r="M493" s="60">
        <v>10</v>
      </c>
      <c r="N493" s="60">
        <v>10</v>
      </c>
      <c r="O493" s="3">
        <v>10</v>
      </c>
      <c r="P493" s="3">
        <f>SUM(J493:O493)</f>
        <v>60</v>
      </c>
      <c r="Q493" s="5">
        <v>2021</v>
      </c>
    </row>
    <row r="494" spans="1:17" ht="38.25">
      <c r="A494" s="26" t="s">
        <v>259</v>
      </c>
      <c r="B494" s="29">
        <v>1</v>
      </c>
      <c r="C494" s="29">
        <v>9</v>
      </c>
      <c r="D494" s="29">
        <v>2</v>
      </c>
      <c r="E494" s="29">
        <v>0</v>
      </c>
      <c r="F494" s="29">
        <v>2</v>
      </c>
      <c r="G494" s="5"/>
      <c r="H494" s="8" t="s">
        <v>51</v>
      </c>
      <c r="I494" s="5" t="s">
        <v>275</v>
      </c>
      <c r="J494" s="7" t="s">
        <v>276</v>
      </c>
      <c r="K494" s="7" t="s">
        <v>276</v>
      </c>
      <c r="L494" s="62" t="s">
        <v>276</v>
      </c>
      <c r="M494" s="62" t="s">
        <v>276</v>
      </c>
      <c r="N494" s="62" t="s">
        <v>276</v>
      </c>
      <c r="O494" s="7" t="s">
        <v>276</v>
      </c>
      <c r="P494" s="7" t="s">
        <v>276</v>
      </c>
      <c r="Q494" s="5">
        <v>2021</v>
      </c>
    </row>
    <row r="495" spans="1:17" ht="38.25">
      <c r="A495" s="26" t="s">
        <v>259</v>
      </c>
      <c r="B495" s="29">
        <v>1</v>
      </c>
      <c r="C495" s="29">
        <v>9</v>
      </c>
      <c r="D495" s="29">
        <v>2</v>
      </c>
      <c r="E495" s="29">
        <v>0</v>
      </c>
      <c r="F495" s="29">
        <v>2</v>
      </c>
      <c r="G495" s="5"/>
      <c r="H495" s="8" t="s">
        <v>205</v>
      </c>
      <c r="I495" s="5" t="s">
        <v>279</v>
      </c>
      <c r="J495" s="3">
        <v>4</v>
      </c>
      <c r="K495" s="3">
        <v>3</v>
      </c>
      <c r="L495" s="60">
        <v>9</v>
      </c>
      <c r="M495" s="60">
        <v>4</v>
      </c>
      <c r="N495" s="60">
        <v>3</v>
      </c>
      <c r="O495" s="3">
        <v>3</v>
      </c>
      <c r="P495" s="3">
        <f>SUM(J495:O495)</f>
        <v>26</v>
      </c>
      <c r="Q495" s="5">
        <v>2021</v>
      </c>
    </row>
    <row r="496" spans="1:17" ht="89.25">
      <c r="A496" s="26" t="s">
        <v>259</v>
      </c>
      <c r="B496" s="29">
        <v>1</v>
      </c>
      <c r="C496" s="29">
        <v>9</v>
      </c>
      <c r="D496" s="29">
        <v>2</v>
      </c>
      <c r="E496" s="29">
        <v>0</v>
      </c>
      <c r="F496" s="29">
        <v>3</v>
      </c>
      <c r="G496" s="5"/>
      <c r="H496" s="8" t="s">
        <v>52</v>
      </c>
      <c r="I496" s="5" t="s">
        <v>275</v>
      </c>
      <c r="J496" s="7" t="s">
        <v>276</v>
      </c>
      <c r="K496" s="7" t="s">
        <v>276</v>
      </c>
      <c r="L496" s="62" t="s">
        <v>276</v>
      </c>
      <c r="M496" s="62" t="s">
        <v>276</v>
      </c>
      <c r="N496" s="62" t="s">
        <v>276</v>
      </c>
      <c r="O496" s="7" t="s">
        <v>276</v>
      </c>
      <c r="P496" s="7" t="s">
        <v>276</v>
      </c>
      <c r="Q496" s="5">
        <v>2021</v>
      </c>
    </row>
    <row r="497" spans="1:17" ht="25.5">
      <c r="A497" s="26" t="s">
        <v>259</v>
      </c>
      <c r="B497" s="29">
        <v>1</v>
      </c>
      <c r="C497" s="29">
        <v>9</v>
      </c>
      <c r="D497" s="29">
        <v>2</v>
      </c>
      <c r="E497" s="29">
        <v>0</v>
      </c>
      <c r="F497" s="29">
        <v>3</v>
      </c>
      <c r="G497" s="5"/>
      <c r="H497" s="8" t="s">
        <v>206</v>
      </c>
      <c r="I497" s="5" t="s">
        <v>290</v>
      </c>
      <c r="J497" s="3">
        <v>25</v>
      </c>
      <c r="K497" s="3">
        <v>25</v>
      </c>
      <c r="L497" s="60">
        <v>45</v>
      </c>
      <c r="M497" s="60">
        <v>25</v>
      </c>
      <c r="N497" s="60">
        <v>25</v>
      </c>
      <c r="O497" s="3">
        <v>25</v>
      </c>
      <c r="P497" s="3">
        <f>SUM(J497:O497)</f>
        <v>170</v>
      </c>
      <c r="Q497" s="5">
        <v>2021</v>
      </c>
    </row>
    <row r="498" spans="1:17" ht="12.75">
      <c r="A498" s="25"/>
      <c r="B498" s="25"/>
      <c r="C498" s="25"/>
      <c r="D498" s="25"/>
      <c r="E498" s="25"/>
      <c r="F498" s="25"/>
      <c r="G498" s="25"/>
      <c r="H498" s="45"/>
      <c r="I498" s="46"/>
      <c r="J498" s="47"/>
      <c r="K498" s="47"/>
      <c r="L498" s="177"/>
      <c r="M498" s="104"/>
      <c r="N498" s="104"/>
      <c r="O498" s="47"/>
      <c r="P498" s="47"/>
      <c r="Q498" s="46"/>
    </row>
    <row r="499" spans="1:17" ht="22.5" customHeight="1">
      <c r="A499" s="25"/>
      <c r="B499" s="25"/>
      <c r="C499" s="25"/>
      <c r="D499" s="25"/>
      <c r="E499" s="25"/>
      <c r="F499" s="25"/>
      <c r="G499" s="25"/>
      <c r="H499" s="48"/>
      <c r="I499" s="46"/>
      <c r="J499" s="47"/>
      <c r="K499" s="47"/>
      <c r="L499" s="177"/>
      <c r="M499" s="104"/>
      <c r="N499" s="104"/>
      <c r="O499" s="47"/>
      <c r="P499" s="49"/>
      <c r="Q499" s="49"/>
    </row>
    <row r="500" spans="1:28" ht="12.75">
      <c r="A500" s="48"/>
      <c r="B500" s="50"/>
      <c r="C500" s="46"/>
      <c r="D500" s="46"/>
      <c r="E500" s="105"/>
      <c r="F500" s="104"/>
      <c r="G500" s="104"/>
      <c r="H500" s="47"/>
      <c r="I500" s="49"/>
      <c r="J500" s="49"/>
      <c r="K500" s="2"/>
      <c r="M500" s="49"/>
      <c r="N500" s="49"/>
      <c r="O500" s="2"/>
      <c r="P500" s="2"/>
      <c r="Q500" s="2"/>
      <c r="V500"/>
      <c r="W500"/>
      <c r="X500"/>
      <c r="Y500"/>
      <c r="Z500"/>
      <c r="AA500"/>
      <c r="AB500"/>
    </row>
    <row r="501" spans="1:28" ht="12.75">
      <c r="A501" s="51"/>
      <c r="B501" s="50"/>
      <c r="C501" s="46"/>
      <c r="D501" s="46"/>
      <c r="E501" s="105"/>
      <c r="F501" s="105"/>
      <c r="G501" s="105"/>
      <c r="H501" s="46"/>
      <c r="I501" s="49"/>
      <c r="J501" s="49"/>
      <c r="K501" s="2"/>
      <c r="M501" s="49"/>
      <c r="N501" s="49"/>
      <c r="O501" s="2"/>
      <c r="P501" s="2"/>
      <c r="Q501" s="2"/>
      <c r="V501"/>
      <c r="W501"/>
      <c r="X501"/>
      <c r="Y501"/>
      <c r="Z501"/>
      <c r="AA501"/>
      <c r="AB501"/>
    </row>
    <row r="502" spans="1:17" ht="12.75">
      <c r="A502" s="52"/>
      <c r="B502" s="52"/>
      <c r="C502" s="52"/>
      <c r="D502" s="52"/>
      <c r="E502" s="52"/>
      <c r="F502" s="52"/>
      <c r="G502" s="53"/>
      <c r="H502" s="51"/>
      <c r="I502" s="50"/>
      <c r="J502" s="46"/>
      <c r="K502" s="46"/>
      <c r="L502" s="179"/>
      <c r="M502" s="105"/>
      <c r="N502" s="105"/>
      <c r="O502" s="46"/>
      <c r="P502" s="49"/>
      <c r="Q502" s="49"/>
    </row>
    <row r="503" spans="1:17" ht="12.75">
      <c r="A503" s="52"/>
      <c r="B503" s="52"/>
      <c r="C503" s="52"/>
      <c r="D503" s="52"/>
      <c r="E503" s="52"/>
      <c r="F503" s="52"/>
      <c r="G503" s="53"/>
      <c r="H503" s="51"/>
      <c r="I503" s="50"/>
      <c r="J503" s="46"/>
      <c r="K503" s="46"/>
      <c r="L503" s="179"/>
      <c r="M503" s="105"/>
      <c r="N503" s="105"/>
      <c r="O503" s="46"/>
      <c r="P503" s="49"/>
      <c r="Q503" s="49"/>
    </row>
    <row r="504" spans="1:17" ht="12.75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O504" s="49"/>
      <c r="P504" s="49"/>
      <c r="Q504" s="49"/>
    </row>
    <row r="505" ht="12.75">
      <c r="Q505"/>
    </row>
    <row r="506" ht="12.75">
      <c r="Q506"/>
    </row>
    <row r="507" ht="12.75">
      <c r="Q507"/>
    </row>
    <row r="508" ht="12.75">
      <c r="Q508"/>
    </row>
    <row r="509" ht="12.75">
      <c r="Q509"/>
    </row>
    <row r="510" ht="12.75">
      <c r="Q510"/>
    </row>
    <row r="511" ht="12.75">
      <c r="Q511"/>
    </row>
    <row r="512" ht="12.75">
      <c r="Q512"/>
    </row>
    <row r="513" ht="12.75">
      <c r="Q513"/>
    </row>
    <row r="514" ht="12.75">
      <c r="Q514"/>
    </row>
    <row r="515" ht="12.75">
      <c r="Q515"/>
    </row>
    <row r="516" ht="12.75">
      <c r="Q516"/>
    </row>
    <row r="517" ht="12.75">
      <c r="Q517"/>
    </row>
    <row r="518" ht="12.75">
      <c r="Q518"/>
    </row>
    <row r="519" ht="12.75">
      <c r="Q519"/>
    </row>
    <row r="520" ht="12.75">
      <c r="Q520"/>
    </row>
    <row r="521" ht="12.75">
      <c r="Q521"/>
    </row>
    <row r="522" ht="12.75">
      <c r="Q522"/>
    </row>
    <row r="523" ht="12.75">
      <c r="Q523"/>
    </row>
    <row r="524" ht="12.75">
      <c r="Q524"/>
    </row>
    <row r="525" ht="12.75">
      <c r="Q525"/>
    </row>
    <row r="526" ht="12.75">
      <c r="Q526"/>
    </row>
    <row r="527" ht="12.75">
      <c r="Q527"/>
    </row>
    <row r="528" ht="12.75">
      <c r="Q528"/>
    </row>
    <row r="529" ht="12.75">
      <c r="Q529"/>
    </row>
    <row r="530" ht="12.75">
      <c r="Q530"/>
    </row>
    <row r="531" ht="12.75">
      <c r="Q531"/>
    </row>
    <row r="532" ht="12.75">
      <c r="Q532"/>
    </row>
    <row r="533" ht="12.75">
      <c r="Q533"/>
    </row>
    <row r="534" ht="12.75">
      <c r="Q534"/>
    </row>
    <row r="535" ht="12.75">
      <c r="Q535"/>
    </row>
    <row r="536" ht="12.75">
      <c r="Q536"/>
    </row>
    <row r="537" ht="12.75">
      <c r="Q537"/>
    </row>
    <row r="538" ht="12.75">
      <c r="Q538"/>
    </row>
    <row r="539" ht="12.75">
      <c r="Q539"/>
    </row>
    <row r="540" ht="12.75">
      <c r="Q540"/>
    </row>
    <row r="541" ht="12.75">
      <c r="Q541"/>
    </row>
    <row r="542" ht="12.75">
      <c r="Q542"/>
    </row>
    <row r="543" ht="12.75">
      <c r="Q543"/>
    </row>
    <row r="544" ht="12.75">
      <c r="Q544"/>
    </row>
    <row r="545" ht="12.75">
      <c r="Q545"/>
    </row>
    <row r="546" ht="12.75">
      <c r="Q546"/>
    </row>
    <row r="547" ht="12.75">
      <c r="Q547"/>
    </row>
    <row r="548" ht="12.75">
      <c r="Q548"/>
    </row>
    <row r="549" ht="12.75">
      <c r="Q549"/>
    </row>
    <row r="550" ht="12.75">
      <c r="Q550"/>
    </row>
    <row r="551" ht="12.75">
      <c r="Q551"/>
    </row>
    <row r="552" ht="12.75">
      <c r="Q552"/>
    </row>
    <row r="553" ht="12.75">
      <c r="Q553"/>
    </row>
    <row r="554" ht="12.75">
      <c r="Q554"/>
    </row>
    <row r="555" ht="12.75">
      <c r="Q555"/>
    </row>
    <row r="556" ht="12.75">
      <c r="Q556"/>
    </row>
    <row r="557" ht="12.75">
      <c r="Q557"/>
    </row>
    <row r="558" ht="12.75">
      <c r="Q558"/>
    </row>
    <row r="559" ht="12.75">
      <c r="Q559"/>
    </row>
    <row r="560" ht="12.75">
      <c r="Q560"/>
    </row>
    <row r="561" ht="12.75">
      <c r="Q561"/>
    </row>
    <row r="562" ht="12.75">
      <c r="Q562"/>
    </row>
    <row r="563" ht="12.75">
      <c r="Q563"/>
    </row>
    <row r="564" ht="12.75">
      <c r="Q564"/>
    </row>
    <row r="565" ht="12.75">
      <c r="Q565"/>
    </row>
    <row r="566" ht="12.75">
      <c r="Q566"/>
    </row>
    <row r="567" ht="12.75">
      <c r="Q567"/>
    </row>
    <row r="568" ht="12.75">
      <c r="Q568"/>
    </row>
    <row r="569" ht="12.75">
      <c r="Q569"/>
    </row>
    <row r="570" ht="12.75">
      <c r="Q570"/>
    </row>
    <row r="571" ht="12.75">
      <c r="Q571"/>
    </row>
    <row r="572" ht="12.75">
      <c r="Q572"/>
    </row>
    <row r="573" ht="12.75">
      <c r="Q573"/>
    </row>
    <row r="574" ht="12.75">
      <c r="Q574"/>
    </row>
    <row r="575" ht="12.75">
      <c r="Q575"/>
    </row>
    <row r="576" ht="12.75">
      <c r="Q576"/>
    </row>
    <row r="577" ht="12.75">
      <c r="Q577"/>
    </row>
    <row r="578" ht="12.75">
      <c r="Q578"/>
    </row>
    <row r="579" ht="12.75">
      <c r="Q579"/>
    </row>
    <row r="580" ht="12.75">
      <c r="Q580"/>
    </row>
    <row r="581" ht="12.75">
      <c r="Q581"/>
    </row>
    <row r="582" ht="12.75">
      <c r="Q582"/>
    </row>
    <row r="583" ht="12.75">
      <c r="Q583"/>
    </row>
    <row r="584" ht="12.75">
      <c r="Q584"/>
    </row>
    <row r="585" ht="12.75">
      <c r="Q585"/>
    </row>
    <row r="586" ht="12.75">
      <c r="Q586"/>
    </row>
    <row r="587" ht="12.75">
      <c r="Q587"/>
    </row>
    <row r="588" ht="12.75">
      <c r="Q588"/>
    </row>
    <row r="589" ht="12.75">
      <c r="Q589"/>
    </row>
    <row r="590" ht="12.75">
      <c r="Q590"/>
    </row>
    <row r="591" ht="12.75">
      <c r="Q591"/>
    </row>
    <row r="592" ht="12.75">
      <c r="Q592"/>
    </row>
    <row r="593" ht="12.75">
      <c r="Q593"/>
    </row>
    <row r="594" ht="12.75">
      <c r="Q594"/>
    </row>
    <row r="595" ht="12.75">
      <c r="Q595"/>
    </row>
    <row r="596" ht="12.75">
      <c r="Q596"/>
    </row>
    <row r="597" ht="12.75">
      <c r="Q597"/>
    </row>
    <row r="598" ht="12.75">
      <c r="Q598"/>
    </row>
    <row r="599" ht="12.75">
      <c r="Q599"/>
    </row>
    <row r="600" ht="12.75">
      <c r="Q600"/>
    </row>
    <row r="601" ht="12.75">
      <c r="Q601"/>
    </row>
    <row r="602" ht="12.75">
      <c r="Q602"/>
    </row>
    <row r="603" ht="12.75">
      <c r="Q603"/>
    </row>
    <row r="604" ht="12.75">
      <c r="Q604"/>
    </row>
    <row r="605" ht="12.75">
      <c r="Q605"/>
    </row>
    <row r="606" ht="12.75">
      <c r="Q606"/>
    </row>
    <row r="607" ht="12.75">
      <c r="Q607"/>
    </row>
    <row r="608" ht="12.75">
      <c r="Q608"/>
    </row>
    <row r="609" ht="12.75">
      <c r="Q609"/>
    </row>
    <row r="610" ht="12.75">
      <c r="Q610"/>
    </row>
    <row r="611" ht="12.75">
      <c r="Q611"/>
    </row>
    <row r="612" ht="12.75">
      <c r="Q612"/>
    </row>
    <row r="613" ht="12.75">
      <c r="Q613"/>
    </row>
    <row r="614" ht="12.75">
      <c r="Q614"/>
    </row>
    <row r="615" ht="12.75">
      <c r="Q615"/>
    </row>
    <row r="616" ht="12.75">
      <c r="Q616"/>
    </row>
    <row r="617" ht="12.75">
      <c r="Q617"/>
    </row>
    <row r="618" ht="12.75">
      <c r="Q618"/>
    </row>
    <row r="619" ht="12.75">
      <c r="Q619"/>
    </row>
    <row r="620" ht="12.75">
      <c r="Q620"/>
    </row>
    <row r="621" ht="12.75">
      <c r="Q621"/>
    </row>
    <row r="622" ht="12.75">
      <c r="Q622"/>
    </row>
    <row r="623" ht="12.75">
      <c r="Q623"/>
    </row>
    <row r="624" ht="12.75">
      <c r="Q624"/>
    </row>
    <row r="625" ht="12.75">
      <c r="Q625"/>
    </row>
    <row r="626" ht="12.75">
      <c r="Q626"/>
    </row>
    <row r="627" ht="12.75">
      <c r="Q627"/>
    </row>
    <row r="628" ht="12.75">
      <c r="Q628"/>
    </row>
    <row r="629" ht="12.75">
      <c r="Q629"/>
    </row>
    <row r="630" ht="12.75">
      <c r="Q630"/>
    </row>
    <row r="631" ht="12.75">
      <c r="Q631"/>
    </row>
    <row r="632" ht="12.75">
      <c r="Q632"/>
    </row>
    <row r="633" ht="12.75">
      <c r="Q633"/>
    </row>
    <row r="634" ht="12.75">
      <c r="Q634"/>
    </row>
    <row r="635" ht="12.75">
      <c r="Q635"/>
    </row>
    <row r="636" ht="12.75">
      <c r="Q636"/>
    </row>
    <row r="637" ht="12.75">
      <c r="Q637"/>
    </row>
    <row r="638" ht="12.75">
      <c r="Q638"/>
    </row>
    <row r="639" ht="12.75">
      <c r="Q639"/>
    </row>
    <row r="640" ht="12.75">
      <c r="Q640"/>
    </row>
    <row r="641" ht="12.75">
      <c r="Q641"/>
    </row>
    <row r="642" ht="12.75">
      <c r="Q642"/>
    </row>
    <row r="643" ht="12.75">
      <c r="Q643"/>
    </row>
    <row r="644" ht="12.75">
      <c r="Q644"/>
    </row>
    <row r="645" ht="12.75">
      <c r="Q645"/>
    </row>
    <row r="646" ht="12.75">
      <c r="Q646"/>
    </row>
    <row r="647" ht="12.75">
      <c r="Q647"/>
    </row>
    <row r="648" ht="12.75">
      <c r="Q648"/>
    </row>
    <row r="649" ht="12.75">
      <c r="Q649"/>
    </row>
    <row r="650" ht="12.75">
      <c r="Q650"/>
    </row>
    <row r="651" ht="12.75">
      <c r="Q651"/>
    </row>
    <row r="652" ht="12.75">
      <c r="Q652"/>
    </row>
    <row r="653" ht="12.75">
      <c r="Q653"/>
    </row>
    <row r="654" ht="12.75">
      <c r="Q654"/>
    </row>
    <row r="655" ht="12.75">
      <c r="Q655"/>
    </row>
    <row r="656" ht="12.75">
      <c r="Q656"/>
    </row>
    <row r="657" ht="12.75">
      <c r="Q657"/>
    </row>
    <row r="658" ht="12.75">
      <c r="Q658"/>
    </row>
    <row r="659" ht="12.75">
      <c r="Q659"/>
    </row>
    <row r="660" ht="12.75">
      <c r="Q660"/>
    </row>
    <row r="661" ht="12.75">
      <c r="Q661"/>
    </row>
    <row r="662" ht="12.75">
      <c r="Q662"/>
    </row>
    <row r="663" ht="12.75">
      <c r="Q663"/>
    </row>
    <row r="664" ht="12.75">
      <c r="Q664"/>
    </row>
    <row r="665" ht="12.75">
      <c r="Q665"/>
    </row>
    <row r="666" ht="12.75">
      <c r="Q666"/>
    </row>
    <row r="667" ht="12.75">
      <c r="Q667"/>
    </row>
    <row r="668" ht="12.75">
      <c r="Q668"/>
    </row>
    <row r="669" ht="12.75">
      <c r="Q669"/>
    </row>
    <row r="670" ht="12.75">
      <c r="Q670"/>
    </row>
    <row r="671" ht="12.75">
      <c r="Q671"/>
    </row>
    <row r="672" ht="12.75">
      <c r="Q672"/>
    </row>
    <row r="673" ht="12.75">
      <c r="Q673"/>
    </row>
    <row r="674" ht="12.75">
      <c r="Q674"/>
    </row>
    <row r="675" ht="12.75">
      <c r="Q675"/>
    </row>
    <row r="676" ht="12.75">
      <c r="Q676"/>
    </row>
    <row r="677" ht="12.75">
      <c r="Q677"/>
    </row>
    <row r="678" ht="12.75">
      <c r="Q678"/>
    </row>
    <row r="679" ht="12.75">
      <c r="Q679"/>
    </row>
    <row r="680" ht="12.75">
      <c r="Q680"/>
    </row>
    <row r="681" ht="12.75">
      <c r="Q681"/>
    </row>
    <row r="682" ht="12.75">
      <c r="Q682"/>
    </row>
    <row r="683" ht="12.75">
      <c r="Q683"/>
    </row>
    <row r="684" ht="12.75">
      <c r="Q684"/>
    </row>
    <row r="685" ht="12.75">
      <c r="Q685"/>
    </row>
    <row r="686" ht="12.75">
      <c r="Q686"/>
    </row>
    <row r="687" ht="12.75">
      <c r="Q687"/>
    </row>
    <row r="688" ht="12.75">
      <c r="Q688"/>
    </row>
    <row r="689" ht="12.75">
      <c r="Q689"/>
    </row>
    <row r="690" ht="12.75">
      <c r="Q690"/>
    </row>
    <row r="691" ht="12.75">
      <c r="Q691"/>
    </row>
    <row r="692" ht="12.75">
      <c r="Q692"/>
    </row>
    <row r="693" ht="12.75">
      <c r="Q693"/>
    </row>
    <row r="694" ht="12.75">
      <c r="Q694"/>
    </row>
    <row r="695" ht="12.75">
      <c r="Q695"/>
    </row>
    <row r="696" ht="12.75">
      <c r="Q696"/>
    </row>
    <row r="697" ht="12.75">
      <c r="Q697"/>
    </row>
    <row r="698" ht="12.75">
      <c r="Q698"/>
    </row>
    <row r="699" ht="12.75">
      <c r="Q699"/>
    </row>
    <row r="700" ht="12.75">
      <c r="Q700"/>
    </row>
    <row r="701" ht="12.75">
      <c r="Q701"/>
    </row>
    <row r="702" ht="12.75">
      <c r="Q702"/>
    </row>
    <row r="703" ht="12.75">
      <c r="Q703"/>
    </row>
    <row r="704" ht="12.75">
      <c r="Q704"/>
    </row>
    <row r="705" ht="12.75">
      <c r="Q705"/>
    </row>
    <row r="706" ht="12.75">
      <c r="Q706"/>
    </row>
    <row r="707" ht="12.75">
      <c r="Q707"/>
    </row>
    <row r="708" ht="12.75">
      <c r="Q708"/>
    </row>
    <row r="709" ht="12.75">
      <c r="Q709"/>
    </row>
    <row r="710" ht="12.75">
      <c r="Q710"/>
    </row>
    <row r="711" ht="12.75">
      <c r="Q711"/>
    </row>
    <row r="712" ht="12.75">
      <c r="Q712"/>
    </row>
    <row r="713" ht="12.75">
      <c r="Q713"/>
    </row>
    <row r="714" ht="12.75">
      <c r="Q714"/>
    </row>
    <row r="715" ht="12.75">
      <c r="Q715"/>
    </row>
    <row r="716" ht="12.75">
      <c r="Q716"/>
    </row>
    <row r="717" ht="12.75">
      <c r="Q717"/>
    </row>
    <row r="718" ht="12.75">
      <c r="Q718"/>
    </row>
    <row r="719" ht="12.75">
      <c r="Q719"/>
    </row>
    <row r="720" ht="12.75">
      <c r="Q720"/>
    </row>
    <row r="721" ht="12.75">
      <c r="Q721"/>
    </row>
    <row r="722" ht="12.75">
      <c r="Q722"/>
    </row>
    <row r="723" ht="12.75">
      <c r="Q723"/>
    </row>
    <row r="724" ht="12.75">
      <c r="Q724"/>
    </row>
    <row r="725" ht="12.75">
      <c r="Q725"/>
    </row>
    <row r="726" ht="12.75">
      <c r="Q726"/>
    </row>
    <row r="727" ht="12.75">
      <c r="Q727"/>
    </row>
    <row r="728" ht="12.75">
      <c r="Q728"/>
    </row>
    <row r="729" ht="12.75">
      <c r="Q729"/>
    </row>
    <row r="730" ht="12.75">
      <c r="Q730"/>
    </row>
    <row r="731" ht="12.75">
      <c r="Q731"/>
    </row>
    <row r="732" ht="12.75">
      <c r="Q732"/>
    </row>
    <row r="733" ht="12.75">
      <c r="Q733"/>
    </row>
    <row r="734" ht="12.75">
      <c r="Q734"/>
    </row>
    <row r="735" ht="12.75">
      <c r="Q735"/>
    </row>
    <row r="736" ht="12.75">
      <c r="Q736"/>
    </row>
    <row r="737" ht="12.75">
      <c r="Q737"/>
    </row>
    <row r="738" ht="12.75">
      <c r="Q738"/>
    </row>
    <row r="739" ht="12.75">
      <c r="Q739"/>
    </row>
    <row r="740" ht="12.75">
      <c r="Q740"/>
    </row>
    <row r="741" ht="12.75">
      <c r="Q741"/>
    </row>
    <row r="742" ht="12.75">
      <c r="Q742"/>
    </row>
    <row r="743" ht="12.75">
      <c r="Q743"/>
    </row>
    <row r="744" ht="12.75">
      <c r="Q744"/>
    </row>
    <row r="745" ht="12.75">
      <c r="Q745"/>
    </row>
    <row r="746" ht="12.75">
      <c r="Q746"/>
    </row>
    <row r="747" ht="12.75">
      <c r="Q747"/>
    </row>
    <row r="748" ht="12.75">
      <c r="Q748"/>
    </row>
    <row r="749" ht="12.75">
      <c r="Q749"/>
    </row>
    <row r="750" ht="12.75">
      <c r="Q750"/>
    </row>
    <row r="751" ht="12.75">
      <c r="Q751"/>
    </row>
    <row r="752" ht="12.75">
      <c r="Q752"/>
    </row>
    <row r="753" ht="12.75">
      <c r="Q753"/>
    </row>
    <row r="754" ht="12.75">
      <c r="Q754"/>
    </row>
    <row r="755" ht="12.75">
      <c r="Q755"/>
    </row>
    <row r="756" ht="12.75">
      <c r="Q756"/>
    </row>
    <row r="757" ht="12.75">
      <c r="Q757"/>
    </row>
    <row r="758" ht="12.75">
      <c r="Q758"/>
    </row>
    <row r="759" ht="12.75">
      <c r="Q759"/>
    </row>
    <row r="760" ht="12.75">
      <c r="Q760"/>
    </row>
    <row r="761" ht="12.75">
      <c r="Q761"/>
    </row>
    <row r="762" ht="12.75">
      <c r="Q762"/>
    </row>
    <row r="763" ht="12.75">
      <c r="Q763"/>
    </row>
    <row r="764" ht="12.75">
      <c r="Q764"/>
    </row>
    <row r="765" ht="12.75">
      <c r="Q765"/>
    </row>
    <row r="766" ht="12.75">
      <c r="Q766"/>
    </row>
    <row r="767" ht="12.75">
      <c r="Q767"/>
    </row>
    <row r="768" ht="12.75">
      <c r="Q768"/>
    </row>
    <row r="769" ht="12.75">
      <c r="Q769"/>
    </row>
    <row r="770" ht="12.75">
      <c r="Q770"/>
    </row>
    <row r="771" ht="12.75">
      <c r="Q771"/>
    </row>
    <row r="772" ht="12.75">
      <c r="Q772"/>
    </row>
    <row r="773" ht="12.75">
      <c r="Q773"/>
    </row>
    <row r="774" ht="12.75">
      <c r="Q774"/>
    </row>
    <row r="775" ht="12.75">
      <c r="Q775"/>
    </row>
    <row r="776" ht="12.75">
      <c r="Q776"/>
    </row>
    <row r="777" ht="12.75">
      <c r="Q777"/>
    </row>
    <row r="778" ht="12.75">
      <c r="Q778"/>
    </row>
    <row r="779" ht="12.75">
      <c r="Q779"/>
    </row>
    <row r="780" ht="12.75">
      <c r="Q780"/>
    </row>
    <row r="781" ht="12.75">
      <c r="Q781"/>
    </row>
    <row r="782" ht="12.75">
      <c r="Q782"/>
    </row>
    <row r="783" ht="12.75">
      <c r="Q783"/>
    </row>
    <row r="784" ht="12.75">
      <c r="Q784"/>
    </row>
    <row r="785" ht="12.75">
      <c r="Q785"/>
    </row>
    <row r="786" ht="12.75">
      <c r="Q786"/>
    </row>
    <row r="787" ht="12.75">
      <c r="Q787"/>
    </row>
    <row r="788" ht="12.75">
      <c r="Q788"/>
    </row>
    <row r="789" ht="12.75">
      <c r="Q789"/>
    </row>
    <row r="790" ht="12.75">
      <c r="Q790"/>
    </row>
    <row r="791" ht="12.75">
      <c r="Q791"/>
    </row>
    <row r="792" ht="12.75">
      <c r="Q792"/>
    </row>
    <row r="793" ht="12.75">
      <c r="Q793"/>
    </row>
    <row r="794" ht="12.75">
      <c r="Q794"/>
    </row>
    <row r="795" ht="12.75">
      <c r="Q795"/>
    </row>
    <row r="796" ht="12.75">
      <c r="Q796"/>
    </row>
    <row r="797" ht="12.75">
      <c r="Q797"/>
    </row>
    <row r="798" ht="12.75">
      <c r="Q798"/>
    </row>
    <row r="799" ht="12.75">
      <c r="Q799"/>
    </row>
    <row r="800" ht="12.75">
      <c r="Q800"/>
    </row>
    <row r="801" ht="12.75">
      <c r="Q801"/>
    </row>
    <row r="802" ht="12.75">
      <c r="Q802"/>
    </row>
    <row r="803" ht="12.75">
      <c r="Q803"/>
    </row>
    <row r="804" ht="12.75">
      <c r="Q804"/>
    </row>
    <row r="805" ht="12.75">
      <c r="Q805"/>
    </row>
    <row r="806" ht="12.75">
      <c r="Q806"/>
    </row>
    <row r="807" ht="12.75">
      <c r="Q807"/>
    </row>
    <row r="808" ht="12.75">
      <c r="Q808"/>
    </row>
    <row r="809" ht="12.75">
      <c r="Q809"/>
    </row>
    <row r="810" ht="12.75">
      <c r="Q810"/>
    </row>
    <row r="811" ht="12.75">
      <c r="Q811"/>
    </row>
    <row r="812" ht="12.75">
      <c r="Q812"/>
    </row>
    <row r="813" ht="12.75">
      <c r="Q813"/>
    </row>
    <row r="814" ht="12.75">
      <c r="Q814"/>
    </row>
    <row r="815" ht="12.75">
      <c r="Q815"/>
    </row>
    <row r="816" ht="12.75">
      <c r="Q816"/>
    </row>
    <row r="817" ht="12.75">
      <c r="Q817"/>
    </row>
    <row r="818" ht="12.75">
      <c r="Q818"/>
    </row>
    <row r="819" ht="12.75">
      <c r="Q819"/>
    </row>
    <row r="820" ht="12.75">
      <c r="Q820"/>
    </row>
    <row r="821" ht="12.75">
      <c r="Q821"/>
    </row>
    <row r="822" ht="12.75">
      <c r="Q822"/>
    </row>
    <row r="823" ht="12.75">
      <c r="Q823"/>
    </row>
    <row r="824" ht="12.75">
      <c r="Q824"/>
    </row>
    <row r="825" ht="12.75">
      <c r="Q825"/>
    </row>
    <row r="826" ht="12.75">
      <c r="Q826"/>
    </row>
    <row r="827" ht="12.75">
      <c r="Q827"/>
    </row>
    <row r="828" ht="12.75">
      <c r="Q828"/>
    </row>
    <row r="829" ht="12.75">
      <c r="Q829"/>
    </row>
    <row r="830" ht="12.75">
      <c r="Q830"/>
    </row>
    <row r="831" ht="12.75">
      <c r="Q831"/>
    </row>
    <row r="832" ht="12.75">
      <c r="Q832"/>
    </row>
    <row r="833" ht="12.75">
      <c r="Q833"/>
    </row>
    <row r="834" ht="12.75">
      <c r="Q834"/>
    </row>
    <row r="835" ht="12.75">
      <c r="Q835"/>
    </row>
    <row r="836" ht="12.75">
      <c r="Q836"/>
    </row>
    <row r="837" ht="12.75">
      <c r="Q837"/>
    </row>
    <row r="838" ht="12.75">
      <c r="Q838"/>
    </row>
    <row r="839" ht="12.75">
      <c r="Q839"/>
    </row>
    <row r="840" ht="12.75">
      <c r="Q840"/>
    </row>
    <row r="841" ht="12.75">
      <c r="Q841"/>
    </row>
    <row r="842" ht="12.75">
      <c r="Q842"/>
    </row>
    <row r="843" ht="12.75">
      <c r="Q843"/>
    </row>
    <row r="844" ht="12.75">
      <c r="Q844"/>
    </row>
    <row r="845" ht="12.75">
      <c r="Q845"/>
    </row>
    <row r="846" ht="12.75">
      <c r="Q846"/>
    </row>
    <row r="847" ht="12.75">
      <c r="Q847"/>
    </row>
    <row r="848" ht="12.75">
      <c r="Q848"/>
    </row>
    <row r="849" ht="12.75">
      <c r="Q849"/>
    </row>
    <row r="850" ht="12.75">
      <c r="Q850"/>
    </row>
    <row r="851" ht="12.75">
      <c r="Q851"/>
    </row>
    <row r="852" ht="12.75">
      <c r="Q852"/>
    </row>
    <row r="853" ht="12.75">
      <c r="Q853"/>
    </row>
    <row r="854" ht="12.75">
      <c r="Q854"/>
    </row>
    <row r="855" ht="12.75">
      <c r="Q855"/>
    </row>
    <row r="856" ht="12.75">
      <c r="Q856"/>
    </row>
    <row r="857" ht="12.75">
      <c r="Q857"/>
    </row>
    <row r="858" ht="12.75">
      <c r="Q858"/>
    </row>
    <row r="859" ht="12.75">
      <c r="Q859"/>
    </row>
    <row r="860" ht="12.75">
      <c r="Q860"/>
    </row>
    <row r="861" ht="12.75">
      <c r="Q861"/>
    </row>
    <row r="862" ht="12.75">
      <c r="Q862"/>
    </row>
    <row r="863" ht="12.75">
      <c r="Q863"/>
    </row>
    <row r="864" ht="12.75">
      <c r="Q864"/>
    </row>
    <row r="865" ht="12.75">
      <c r="Q865"/>
    </row>
    <row r="866" ht="12.75">
      <c r="Q866"/>
    </row>
    <row r="867" ht="12.75">
      <c r="Q867"/>
    </row>
    <row r="868" ht="12.75">
      <c r="Q868"/>
    </row>
    <row r="869" ht="12.75">
      <c r="Q869"/>
    </row>
    <row r="870" ht="12.75">
      <c r="Q870"/>
    </row>
    <row r="871" ht="12.75">
      <c r="Q871"/>
    </row>
    <row r="872" ht="12.75">
      <c r="Q872"/>
    </row>
    <row r="873" ht="12.75">
      <c r="Q873"/>
    </row>
    <row r="874" ht="12.75">
      <c r="Q874"/>
    </row>
    <row r="875" ht="12.75">
      <c r="Q875"/>
    </row>
    <row r="876" ht="12.75">
      <c r="Q876"/>
    </row>
    <row r="877" ht="12.75">
      <c r="Q877"/>
    </row>
    <row r="878" ht="12.75">
      <c r="Q878"/>
    </row>
    <row r="879" ht="12.75">
      <c r="Q879"/>
    </row>
    <row r="880" ht="12.75">
      <c r="Q880"/>
    </row>
    <row r="881" ht="12.75">
      <c r="Q881"/>
    </row>
    <row r="882" ht="12.75">
      <c r="Q882"/>
    </row>
    <row r="883" ht="12.75">
      <c r="Q883"/>
    </row>
    <row r="884" ht="12.75">
      <c r="Q884"/>
    </row>
    <row r="885" ht="12.75">
      <c r="Q885"/>
    </row>
    <row r="886" ht="12.75">
      <c r="Q886"/>
    </row>
    <row r="887" ht="12.75">
      <c r="Q887"/>
    </row>
    <row r="888" ht="12.75">
      <c r="Q888"/>
    </row>
    <row r="889" ht="12.75">
      <c r="Q889"/>
    </row>
    <row r="890" ht="12.75">
      <c r="Q890"/>
    </row>
    <row r="891" ht="12.75">
      <c r="Q891"/>
    </row>
    <row r="892" ht="12.75">
      <c r="Q892"/>
    </row>
    <row r="893" ht="12.75">
      <c r="Q893"/>
    </row>
    <row r="894" ht="12.75">
      <c r="Q894"/>
    </row>
    <row r="895" ht="12.75">
      <c r="Q895"/>
    </row>
    <row r="896" ht="12.75">
      <c r="Q896"/>
    </row>
    <row r="897" ht="12.75">
      <c r="Q897"/>
    </row>
    <row r="898" ht="12.75">
      <c r="Q898"/>
    </row>
    <row r="899" ht="12.75">
      <c r="Q899"/>
    </row>
    <row r="900" ht="12.75">
      <c r="Q900"/>
    </row>
    <row r="901" ht="12.75">
      <c r="Q901"/>
    </row>
    <row r="902" ht="12.75">
      <c r="Q902"/>
    </row>
    <row r="903" ht="12.75">
      <c r="Q903"/>
    </row>
    <row r="904" ht="12.75">
      <c r="Q904"/>
    </row>
    <row r="905" ht="12.75">
      <c r="Q905"/>
    </row>
    <row r="906" ht="12.75">
      <c r="Q906"/>
    </row>
    <row r="907" ht="12.75">
      <c r="Q907"/>
    </row>
    <row r="908" ht="12.75">
      <c r="Q908"/>
    </row>
    <row r="909" ht="12.75">
      <c r="Q909"/>
    </row>
    <row r="910" ht="12.75">
      <c r="Q910"/>
    </row>
    <row r="911" ht="12.75">
      <c r="Q911"/>
    </row>
    <row r="912" ht="12.75">
      <c r="Q912"/>
    </row>
    <row r="913" ht="12.75">
      <c r="Q913"/>
    </row>
    <row r="914" ht="12.75">
      <c r="Q914"/>
    </row>
    <row r="915" ht="12.75">
      <c r="Q915"/>
    </row>
    <row r="916" ht="12.75">
      <c r="Q916"/>
    </row>
    <row r="917" ht="12.75">
      <c r="Q917"/>
    </row>
    <row r="918" ht="12.75">
      <c r="Q918"/>
    </row>
    <row r="919" ht="12.75">
      <c r="Q919"/>
    </row>
    <row r="920" ht="12.75">
      <c r="Q920"/>
    </row>
    <row r="921" ht="12.75">
      <c r="Q921"/>
    </row>
    <row r="922" ht="12.75">
      <c r="Q922"/>
    </row>
    <row r="923" ht="12.75">
      <c r="Q923"/>
    </row>
    <row r="924" ht="12.75">
      <c r="Q924"/>
    </row>
    <row r="925" ht="12.75">
      <c r="Q925"/>
    </row>
    <row r="926" ht="12.75">
      <c r="Q926"/>
    </row>
    <row r="927" ht="12.75">
      <c r="Q927"/>
    </row>
    <row r="928" ht="12.75">
      <c r="Q928"/>
    </row>
    <row r="929" ht="12.75">
      <c r="Q929"/>
    </row>
    <row r="930" ht="12.75">
      <c r="Q930"/>
    </row>
    <row r="931" ht="12.75">
      <c r="Q931"/>
    </row>
    <row r="932" ht="12.75">
      <c r="Q932"/>
    </row>
    <row r="933" ht="12.75">
      <c r="Q933"/>
    </row>
    <row r="934" ht="12.75">
      <c r="Q934"/>
    </row>
    <row r="935" ht="12.75">
      <c r="Q935"/>
    </row>
    <row r="936" ht="12.75">
      <c r="Q936"/>
    </row>
    <row r="937" ht="12.75">
      <c r="Q937"/>
    </row>
    <row r="938" ht="12.75">
      <c r="Q938"/>
    </row>
    <row r="939" ht="12.75">
      <c r="Q939"/>
    </row>
    <row r="940" ht="12.75">
      <c r="Q940"/>
    </row>
    <row r="941" ht="12.75">
      <c r="Q941"/>
    </row>
    <row r="942" ht="12.75">
      <c r="Q942"/>
    </row>
    <row r="943" ht="12.75">
      <c r="Q943"/>
    </row>
    <row r="944" ht="12.75">
      <c r="Q944"/>
    </row>
    <row r="945" ht="12.75">
      <c r="Q945"/>
    </row>
    <row r="946" ht="12.75">
      <c r="Q946"/>
    </row>
    <row r="947" ht="12.75">
      <c r="Q947"/>
    </row>
    <row r="948" ht="12.75">
      <c r="Q948"/>
    </row>
    <row r="949" ht="12.75">
      <c r="Q949"/>
    </row>
    <row r="950" ht="12.75">
      <c r="Q950"/>
    </row>
    <row r="951" ht="12.75">
      <c r="Q951"/>
    </row>
    <row r="952" ht="12.75">
      <c r="Q952"/>
    </row>
    <row r="953" ht="12.75">
      <c r="Q953"/>
    </row>
    <row r="954" ht="12.75">
      <c r="Q954"/>
    </row>
    <row r="955" ht="12.75">
      <c r="Q955"/>
    </row>
    <row r="956" ht="12.75">
      <c r="Q956"/>
    </row>
    <row r="957" ht="12.75">
      <c r="Q957"/>
    </row>
    <row r="958" ht="12.75">
      <c r="Q958"/>
    </row>
    <row r="959" ht="12.75">
      <c r="Q959"/>
    </row>
    <row r="960" ht="12.75">
      <c r="Q960"/>
    </row>
    <row r="961" ht="12.75">
      <c r="Q961"/>
    </row>
    <row r="962" ht="12.75">
      <c r="Q962"/>
    </row>
    <row r="963" ht="12.75">
      <c r="Q963"/>
    </row>
    <row r="964" ht="12.75">
      <c r="Q964"/>
    </row>
    <row r="965" ht="12.75">
      <c r="Q965"/>
    </row>
    <row r="966" ht="12.75">
      <c r="Q966"/>
    </row>
    <row r="967" ht="12.75">
      <c r="Q967"/>
    </row>
    <row r="968" ht="12.75">
      <c r="Q968"/>
    </row>
    <row r="969" ht="12.75">
      <c r="Q969"/>
    </row>
    <row r="970" ht="12.75">
      <c r="Q970"/>
    </row>
    <row r="971" ht="12.75">
      <c r="Q971"/>
    </row>
    <row r="972" ht="12.75">
      <c r="Q972"/>
    </row>
    <row r="973" ht="12.75">
      <c r="Q973"/>
    </row>
    <row r="974" ht="12.75">
      <c r="Q974"/>
    </row>
    <row r="975" ht="12.75">
      <c r="Q975"/>
    </row>
    <row r="976" ht="12.75">
      <c r="Q976"/>
    </row>
    <row r="977" ht="12.75">
      <c r="Q977"/>
    </row>
    <row r="978" ht="12.75">
      <c r="Q978"/>
    </row>
    <row r="979" ht="12.75">
      <c r="Q979"/>
    </row>
    <row r="980" ht="12.75">
      <c r="Q980"/>
    </row>
    <row r="981" ht="12.75">
      <c r="Q981"/>
    </row>
    <row r="982" ht="12.75">
      <c r="Q982"/>
    </row>
    <row r="983" ht="12.75">
      <c r="Q983"/>
    </row>
    <row r="984" ht="12.75">
      <c r="Q984"/>
    </row>
    <row r="985" ht="12.75">
      <c r="Q985"/>
    </row>
    <row r="986" ht="12.75">
      <c r="Q986"/>
    </row>
    <row r="987" ht="12.75">
      <c r="Q987"/>
    </row>
    <row r="988" ht="12.75">
      <c r="Q988"/>
    </row>
    <row r="989" ht="12.75">
      <c r="Q989"/>
    </row>
    <row r="990" ht="12.75">
      <c r="Q990"/>
    </row>
    <row r="991" ht="12.75">
      <c r="Q991"/>
    </row>
    <row r="992" ht="12.75">
      <c r="Q992"/>
    </row>
    <row r="993" ht="12.75">
      <c r="Q993"/>
    </row>
    <row r="994" ht="12.75">
      <c r="Q994"/>
    </row>
    <row r="995" ht="12.75">
      <c r="Q995"/>
    </row>
    <row r="996" ht="12.75">
      <c r="Q996"/>
    </row>
    <row r="997" ht="12.75">
      <c r="Q997"/>
    </row>
    <row r="998" ht="12.75">
      <c r="Q998"/>
    </row>
    <row r="999" ht="12.75">
      <c r="Q999"/>
    </row>
    <row r="1000" ht="12.75">
      <c r="Q1000"/>
    </row>
    <row r="1001" ht="12.75">
      <c r="Q1001"/>
    </row>
    <row r="1002" ht="12.75">
      <c r="Q1002"/>
    </row>
    <row r="1003" ht="12.75">
      <c r="Q1003"/>
    </row>
    <row r="1004" ht="12.75">
      <c r="Q1004"/>
    </row>
    <row r="1005" ht="12.75">
      <c r="Q1005"/>
    </row>
    <row r="1006" ht="12.75">
      <c r="Q1006"/>
    </row>
    <row r="1007" ht="12.75">
      <c r="Q1007"/>
    </row>
    <row r="1008" ht="12.75">
      <c r="Q1008"/>
    </row>
    <row r="1009" ht="12.75">
      <c r="Q1009"/>
    </row>
    <row r="1010" ht="12.75">
      <c r="Q1010"/>
    </row>
    <row r="1011" ht="12.75">
      <c r="Q1011"/>
    </row>
    <row r="1012" ht="12.75">
      <c r="Q1012"/>
    </row>
    <row r="1013" ht="12.75">
      <c r="Q1013"/>
    </row>
    <row r="1014" ht="12.75">
      <c r="Q1014"/>
    </row>
    <row r="1015" ht="12.75">
      <c r="Q1015"/>
    </row>
    <row r="1016" ht="12.75">
      <c r="Q1016"/>
    </row>
    <row r="1017" ht="12.75">
      <c r="Q1017"/>
    </row>
    <row r="1018" ht="12.75">
      <c r="Q1018"/>
    </row>
    <row r="1019" ht="12.75">
      <c r="Q1019"/>
    </row>
    <row r="1020" ht="12.75">
      <c r="Q1020"/>
    </row>
    <row r="1021" ht="12.75">
      <c r="Q1021"/>
    </row>
    <row r="1022" ht="12.75">
      <c r="Q1022"/>
    </row>
    <row r="1023" ht="12.75">
      <c r="Q1023"/>
    </row>
    <row r="1024" ht="12.75">
      <c r="Q1024"/>
    </row>
    <row r="1025" ht="12.75">
      <c r="Q1025"/>
    </row>
    <row r="1026" ht="12.75">
      <c r="Q1026"/>
    </row>
    <row r="1027" ht="12.75">
      <c r="Q1027"/>
    </row>
    <row r="1028" ht="12.75">
      <c r="Q1028"/>
    </row>
    <row r="1029" ht="12.75">
      <c r="Q1029"/>
    </row>
    <row r="1030" ht="12.75">
      <c r="Q1030"/>
    </row>
    <row r="1031" ht="12.75">
      <c r="Q1031"/>
    </row>
    <row r="1032" ht="12.75">
      <c r="Q1032"/>
    </row>
    <row r="1033" ht="12.75">
      <c r="Q1033"/>
    </row>
    <row r="1034" ht="12.75">
      <c r="Q1034"/>
    </row>
    <row r="1035" ht="12.75">
      <c r="Q1035"/>
    </row>
    <row r="1036" ht="12.75">
      <c r="Q1036"/>
    </row>
    <row r="1037" ht="12.75">
      <c r="Q1037"/>
    </row>
    <row r="1038" ht="12.75">
      <c r="Q1038"/>
    </row>
    <row r="1039" ht="12.75">
      <c r="Q1039"/>
    </row>
    <row r="1040" ht="12.75">
      <c r="Q1040"/>
    </row>
    <row r="1041" ht="12.75">
      <c r="Q1041"/>
    </row>
    <row r="1042" ht="12.75">
      <c r="Q1042"/>
    </row>
    <row r="1043" ht="12.75">
      <c r="Q1043"/>
    </row>
    <row r="1044" ht="12.75">
      <c r="Q1044"/>
    </row>
    <row r="1045" ht="12.75">
      <c r="Q1045"/>
    </row>
    <row r="1046" ht="12.75">
      <c r="Q1046"/>
    </row>
    <row r="1047" ht="12.75">
      <c r="Q1047"/>
    </row>
    <row r="1048" ht="12.75">
      <c r="Q1048"/>
    </row>
    <row r="1049" ht="12.75">
      <c r="Q1049"/>
    </row>
    <row r="1050" ht="12.75">
      <c r="Q1050"/>
    </row>
    <row r="1051" ht="12.75">
      <c r="Q1051"/>
    </row>
    <row r="1052" ht="12.75">
      <c r="Q1052"/>
    </row>
    <row r="1053" ht="12.75">
      <c r="Q1053"/>
    </row>
    <row r="1054" ht="12.75">
      <c r="Q1054"/>
    </row>
    <row r="1055" ht="12.75">
      <c r="Q1055"/>
    </row>
    <row r="1056" ht="12.75">
      <c r="Q1056"/>
    </row>
    <row r="1057" ht="12.75">
      <c r="Q1057"/>
    </row>
    <row r="1058" ht="12.75">
      <c r="Q1058"/>
    </row>
    <row r="1059" ht="12.75">
      <c r="Q1059"/>
    </row>
    <row r="1060" ht="12.75">
      <c r="Q1060"/>
    </row>
    <row r="1061" ht="12.75">
      <c r="Q1061"/>
    </row>
    <row r="1062" ht="12.75">
      <c r="Q1062"/>
    </row>
    <row r="1063" ht="12.75">
      <c r="Q1063"/>
    </row>
    <row r="1064" ht="12.75">
      <c r="Q1064"/>
    </row>
    <row r="1065" ht="12.75">
      <c r="Q1065"/>
    </row>
    <row r="1066" ht="12.75">
      <c r="Q1066"/>
    </row>
    <row r="1067" ht="12.75">
      <c r="Q1067"/>
    </row>
    <row r="1068" ht="12.75">
      <c r="Q1068"/>
    </row>
    <row r="1069" ht="12.75">
      <c r="Q1069"/>
    </row>
    <row r="1070" ht="12.75">
      <c r="Q1070"/>
    </row>
    <row r="1071" ht="12.75">
      <c r="Q1071"/>
    </row>
    <row r="1072" ht="12.75">
      <c r="Q1072"/>
    </row>
    <row r="1073" ht="12.75">
      <c r="Q1073"/>
    </row>
    <row r="1074" ht="12.75">
      <c r="Q1074"/>
    </row>
    <row r="1075" ht="12.75">
      <c r="Q1075"/>
    </row>
    <row r="1076" ht="12.75">
      <c r="Q1076"/>
    </row>
    <row r="1077" ht="12.75">
      <c r="Q1077"/>
    </row>
    <row r="1078" ht="12.75">
      <c r="Q1078"/>
    </row>
    <row r="1079" ht="12.75">
      <c r="Q1079"/>
    </row>
    <row r="1080" ht="12.75">
      <c r="Q1080"/>
    </row>
    <row r="1081" ht="12.75">
      <c r="Q1081"/>
    </row>
    <row r="1082" ht="12.75">
      <c r="Q1082"/>
    </row>
    <row r="1083" ht="12.75">
      <c r="Q1083"/>
    </row>
    <row r="1084" ht="12.75">
      <c r="Q1084"/>
    </row>
    <row r="1085" ht="12.75">
      <c r="Q1085"/>
    </row>
    <row r="1086" ht="12.75">
      <c r="Q1086"/>
    </row>
    <row r="1087" ht="12.75">
      <c r="Q1087"/>
    </row>
    <row r="1088" ht="12.75">
      <c r="Q1088"/>
    </row>
    <row r="1089" ht="12.75">
      <c r="Q1089"/>
    </row>
    <row r="1090" ht="12.75">
      <c r="Q1090"/>
    </row>
    <row r="1091" ht="12.75">
      <c r="Q1091"/>
    </row>
    <row r="1092" ht="12.75">
      <c r="Q1092"/>
    </row>
    <row r="1093" ht="12.75">
      <c r="Q1093"/>
    </row>
    <row r="1094" ht="12.75">
      <c r="Q1094"/>
    </row>
    <row r="1095" ht="12.75">
      <c r="Q1095"/>
    </row>
    <row r="1096" ht="12.75">
      <c r="Q1096"/>
    </row>
    <row r="1097" ht="12.75">
      <c r="Q1097"/>
    </row>
    <row r="1098" ht="12.75">
      <c r="Q1098"/>
    </row>
    <row r="1099" ht="12.75">
      <c r="Q1099"/>
    </row>
    <row r="1100" ht="12.75">
      <c r="Q1100"/>
    </row>
    <row r="1101" ht="12.75">
      <c r="Q1101"/>
    </row>
    <row r="1102" ht="12.75">
      <c r="Q1102"/>
    </row>
    <row r="1103" ht="12.75">
      <c r="Q1103"/>
    </row>
    <row r="1104" ht="12.75">
      <c r="Q1104"/>
    </row>
    <row r="1105" ht="12.75">
      <c r="Q1105"/>
    </row>
    <row r="1106" ht="12.75">
      <c r="Q1106"/>
    </row>
    <row r="1107" ht="12.75">
      <c r="Q1107"/>
    </row>
    <row r="1108" ht="12.75">
      <c r="Q1108"/>
    </row>
    <row r="1109" ht="12.75">
      <c r="Q1109"/>
    </row>
    <row r="1110" ht="12.75">
      <c r="Q1110"/>
    </row>
    <row r="1111" ht="12.75">
      <c r="Q1111"/>
    </row>
    <row r="1112" ht="12.75">
      <c r="Q1112"/>
    </row>
    <row r="1113" ht="12.75">
      <c r="Q1113"/>
    </row>
    <row r="1114" ht="12.75">
      <c r="Q1114"/>
    </row>
    <row r="1115" ht="12.75">
      <c r="Q1115"/>
    </row>
    <row r="1116" ht="12.75">
      <c r="Q1116"/>
    </row>
    <row r="1117" ht="12.75">
      <c r="Q1117"/>
    </row>
    <row r="1118" ht="12.75">
      <c r="Q1118"/>
    </row>
    <row r="1119" ht="12.75">
      <c r="Q1119"/>
    </row>
    <row r="1120" ht="12.75">
      <c r="Q1120"/>
    </row>
    <row r="1121" ht="12.75">
      <c r="Q1121"/>
    </row>
    <row r="1122" ht="12.75">
      <c r="Q1122"/>
    </row>
    <row r="1123" ht="12.75">
      <c r="Q1123"/>
    </row>
    <row r="1124" ht="12.75">
      <c r="Q1124"/>
    </row>
    <row r="1125" ht="12.75">
      <c r="Q1125"/>
    </row>
    <row r="1126" ht="12.75">
      <c r="Q1126"/>
    </row>
    <row r="1127" ht="12.75">
      <c r="Q1127"/>
    </row>
    <row r="1128" ht="12.75">
      <c r="Q1128"/>
    </row>
    <row r="1129" ht="12.75">
      <c r="Q1129"/>
    </row>
    <row r="1130" ht="12.75">
      <c r="Q1130"/>
    </row>
    <row r="1131" ht="12.75">
      <c r="Q1131"/>
    </row>
    <row r="1132" ht="12.75">
      <c r="Q1132"/>
    </row>
    <row r="1133" ht="12.75">
      <c r="Q1133"/>
    </row>
    <row r="1134" ht="12.75">
      <c r="Q1134"/>
    </row>
    <row r="1135" ht="12.75">
      <c r="Q1135"/>
    </row>
    <row r="1136" ht="12.75">
      <c r="Q1136"/>
    </row>
    <row r="1137" ht="12.75">
      <c r="Q1137"/>
    </row>
    <row r="1138" ht="12.75">
      <c r="Q1138"/>
    </row>
    <row r="1139" ht="12.75">
      <c r="Q1139"/>
    </row>
    <row r="1140" ht="12.75">
      <c r="Q1140"/>
    </row>
    <row r="1141" ht="12.75">
      <c r="Q1141"/>
    </row>
    <row r="1142" ht="12.75">
      <c r="Q1142"/>
    </row>
    <row r="1143" ht="12.75">
      <c r="Q1143"/>
    </row>
    <row r="1144" ht="12.75">
      <c r="Q1144"/>
    </row>
    <row r="1145" ht="12.75">
      <c r="Q1145"/>
    </row>
    <row r="1146" ht="12.75">
      <c r="Q1146"/>
    </row>
    <row r="1147" ht="12.75">
      <c r="Q1147"/>
    </row>
    <row r="1148" ht="12.75">
      <c r="Q1148"/>
    </row>
    <row r="1149" ht="12.75">
      <c r="Q1149"/>
    </row>
    <row r="1150" ht="12.75">
      <c r="Q1150"/>
    </row>
    <row r="1151" ht="12.75">
      <c r="Q1151"/>
    </row>
    <row r="1152" ht="12.75">
      <c r="Q1152"/>
    </row>
    <row r="1153" ht="12.75">
      <c r="Q1153"/>
    </row>
    <row r="1154" ht="12.75">
      <c r="Q1154"/>
    </row>
    <row r="1155" ht="12.75">
      <c r="Q1155"/>
    </row>
    <row r="1156" ht="12.75">
      <c r="Q1156"/>
    </row>
    <row r="1157" ht="12.75">
      <c r="Q1157"/>
    </row>
    <row r="1158" ht="12.75">
      <c r="Q1158"/>
    </row>
    <row r="1159" ht="12.75">
      <c r="Q1159"/>
    </row>
    <row r="1160" ht="12.75">
      <c r="Q1160"/>
    </row>
    <row r="1161" ht="12.75">
      <c r="Q1161"/>
    </row>
    <row r="1162" ht="12.75">
      <c r="Q1162"/>
    </row>
    <row r="1163" ht="12.75">
      <c r="Q1163"/>
    </row>
    <row r="1164" ht="12.75">
      <c r="Q1164"/>
    </row>
    <row r="1165" ht="12.75">
      <c r="Q1165"/>
    </row>
    <row r="1166" ht="12.75">
      <c r="Q1166"/>
    </row>
    <row r="1167" ht="12.75">
      <c r="Q1167"/>
    </row>
    <row r="1168" ht="12.75">
      <c r="Q1168"/>
    </row>
    <row r="1169" ht="12.75">
      <c r="Q1169"/>
    </row>
    <row r="1170" ht="12.75">
      <c r="Q1170"/>
    </row>
    <row r="1171" ht="12.75">
      <c r="Q1171"/>
    </row>
    <row r="1172" ht="12.75">
      <c r="Q1172"/>
    </row>
    <row r="1173" ht="12.75">
      <c r="Q1173"/>
    </row>
    <row r="1174" ht="12.75">
      <c r="Q1174"/>
    </row>
    <row r="1175" ht="12.75">
      <c r="Q1175"/>
    </row>
    <row r="1176" ht="12.75">
      <c r="Q1176"/>
    </row>
    <row r="1177" ht="12.75">
      <c r="Q1177"/>
    </row>
    <row r="1178" ht="12.75">
      <c r="Q1178"/>
    </row>
    <row r="1179" ht="12.75">
      <c r="Q1179"/>
    </row>
    <row r="1180" ht="12.75">
      <c r="Q1180"/>
    </row>
    <row r="1181" ht="12.75">
      <c r="Q1181"/>
    </row>
    <row r="1182" ht="12.75">
      <c r="Q1182"/>
    </row>
    <row r="1183" ht="12.75">
      <c r="Q1183"/>
    </row>
    <row r="1184" ht="12.75">
      <c r="Q1184"/>
    </row>
    <row r="1185" ht="12.75">
      <c r="Q1185"/>
    </row>
    <row r="1186" ht="12.75">
      <c r="Q1186"/>
    </row>
    <row r="1187" ht="12.75">
      <c r="Q1187"/>
    </row>
    <row r="1188" ht="12.75">
      <c r="Q1188"/>
    </row>
    <row r="1189" ht="12.75">
      <c r="Q1189"/>
    </row>
    <row r="1190" ht="12.75">
      <c r="Q1190"/>
    </row>
    <row r="1191" ht="12.75">
      <c r="Q1191"/>
    </row>
    <row r="1192" ht="12.75">
      <c r="Q1192"/>
    </row>
    <row r="1193" ht="12.75">
      <c r="Q1193"/>
    </row>
    <row r="1194" ht="12.75">
      <c r="Q1194"/>
    </row>
    <row r="1195" ht="12.75">
      <c r="Q1195"/>
    </row>
    <row r="1196" ht="12.75">
      <c r="Q1196"/>
    </row>
    <row r="1197" ht="12.75">
      <c r="Q1197"/>
    </row>
    <row r="1198" ht="12.75">
      <c r="Q1198"/>
    </row>
    <row r="1199" ht="12.75">
      <c r="Q1199"/>
    </row>
    <row r="1200" ht="12.75">
      <c r="Q1200"/>
    </row>
    <row r="1201" ht="12.75">
      <c r="Q1201"/>
    </row>
    <row r="1202" ht="12.75">
      <c r="Q1202"/>
    </row>
    <row r="1203" ht="12.75">
      <c r="Q1203"/>
    </row>
    <row r="1204" ht="12.75">
      <c r="Q1204"/>
    </row>
    <row r="1205" ht="12.75">
      <c r="Q1205"/>
    </row>
    <row r="1206" ht="12.75">
      <c r="Q1206"/>
    </row>
    <row r="1207" ht="12.75">
      <c r="Q1207"/>
    </row>
    <row r="1208" ht="12.75">
      <c r="Q1208"/>
    </row>
    <row r="1209" ht="12.75">
      <c r="Q1209"/>
    </row>
    <row r="1210" ht="12.75">
      <c r="Q1210"/>
    </row>
    <row r="1211" ht="12.75">
      <c r="Q1211"/>
    </row>
    <row r="1212" ht="12.75">
      <c r="Q1212"/>
    </row>
    <row r="1213" ht="12.75">
      <c r="Q1213"/>
    </row>
    <row r="1214" ht="12.75">
      <c r="Q1214"/>
    </row>
    <row r="1215" ht="12.75">
      <c r="Q1215"/>
    </row>
    <row r="1216" ht="12.75">
      <c r="Q1216"/>
    </row>
    <row r="1217" ht="12.75">
      <c r="Q1217"/>
    </row>
    <row r="1218" ht="12.75">
      <c r="Q1218"/>
    </row>
    <row r="1219" ht="12.75">
      <c r="Q1219"/>
    </row>
    <row r="1220" ht="12.75">
      <c r="Q1220"/>
    </row>
    <row r="1221" ht="12.75">
      <c r="Q1221"/>
    </row>
    <row r="1222" ht="12.75">
      <c r="Q1222"/>
    </row>
    <row r="1223" ht="12.75">
      <c r="Q1223"/>
    </row>
    <row r="1224" ht="12.75">
      <c r="Q1224"/>
    </row>
    <row r="1225" ht="12.75">
      <c r="Q1225"/>
    </row>
    <row r="1226" ht="12.75">
      <c r="Q1226"/>
    </row>
    <row r="1227" ht="12.75">
      <c r="Q1227"/>
    </row>
    <row r="1228" ht="12.75">
      <c r="Q1228"/>
    </row>
    <row r="1229" ht="12.75">
      <c r="Q1229"/>
    </row>
    <row r="1230" ht="12.75">
      <c r="Q1230"/>
    </row>
    <row r="1231" ht="12.75">
      <c r="Q1231"/>
    </row>
    <row r="1232" ht="12.75">
      <c r="Q1232"/>
    </row>
    <row r="1233" ht="12.75">
      <c r="Q1233"/>
    </row>
    <row r="1234" ht="12.75">
      <c r="Q1234"/>
    </row>
    <row r="1235" ht="12.75">
      <c r="Q1235"/>
    </row>
    <row r="1236" ht="12.75">
      <c r="Q1236"/>
    </row>
    <row r="1237" ht="12.75">
      <c r="Q1237"/>
    </row>
    <row r="1238" ht="12.75">
      <c r="Q1238"/>
    </row>
    <row r="1239" ht="12.75">
      <c r="Q1239"/>
    </row>
    <row r="1240" ht="12.75">
      <c r="Q1240"/>
    </row>
    <row r="1241" ht="12.75">
      <c r="Q1241"/>
    </row>
    <row r="1242" ht="12.75">
      <c r="Q1242"/>
    </row>
    <row r="1243" ht="12.75">
      <c r="Q1243"/>
    </row>
    <row r="1244" ht="12.75">
      <c r="Q1244"/>
    </row>
    <row r="1245" ht="12.75">
      <c r="Q1245"/>
    </row>
    <row r="1246" ht="12.75">
      <c r="Q1246"/>
    </row>
    <row r="1247" ht="12.75">
      <c r="Q1247"/>
    </row>
    <row r="1248" ht="12.75">
      <c r="Q1248"/>
    </row>
    <row r="1249" ht="12.75">
      <c r="Q1249"/>
    </row>
    <row r="1250" ht="12.75">
      <c r="Q1250"/>
    </row>
    <row r="1251" ht="12.75">
      <c r="Q1251"/>
    </row>
    <row r="1252" ht="12.75">
      <c r="Q1252"/>
    </row>
    <row r="1253" ht="12.75">
      <c r="Q1253"/>
    </row>
    <row r="1254" ht="12.75">
      <c r="Q1254"/>
    </row>
    <row r="1255" ht="12.75">
      <c r="Q1255"/>
    </row>
    <row r="1256" ht="12.75">
      <c r="Q1256"/>
    </row>
    <row r="1257" ht="12.75">
      <c r="Q1257"/>
    </row>
    <row r="1258" ht="12.75">
      <c r="Q1258"/>
    </row>
    <row r="1259" ht="12.75">
      <c r="Q1259"/>
    </row>
    <row r="1260" ht="12.75">
      <c r="Q1260"/>
    </row>
    <row r="1261" ht="12.75">
      <c r="Q1261"/>
    </row>
    <row r="1262" ht="12.75">
      <c r="Q1262"/>
    </row>
    <row r="1263" ht="12.75">
      <c r="Q1263"/>
    </row>
    <row r="1264" ht="12.75">
      <c r="Q1264"/>
    </row>
    <row r="1265" ht="12.75">
      <c r="Q1265"/>
    </row>
    <row r="1266" ht="12.75">
      <c r="Q1266"/>
    </row>
    <row r="1267" ht="12.75">
      <c r="Q1267"/>
    </row>
    <row r="1268" ht="12.75">
      <c r="Q1268"/>
    </row>
    <row r="1269" ht="12.75">
      <c r="Q1269"/>
    </row>
    <row r="1270" ht="12.75">
      <c r="Q1270"/>
    </row>
    <row r="1271" ht="12.75">
      <c r="Q1271"/>
    </row>
    <row r="1272" ht="12.75">
      <c r="Q1272"/>
    </row>
    <row r="1273" ht="12.75">
      <c r="Q1273"/>
    </row>
    <row r="1274" ht="12.75">
      <c r="Q1274"/>
    </row>
    <row r="1275" ht="12.75">
      <c r="Q1275"/>
    </row>
    <row r="1276" ht="12.75">
      <c r="Q1276"/>
    </row>
    <row r="1277" ht="12.75">
      <c r="Q1277"/>
    </row>
    <row r="1278" ht="12.75">
      <c r="Q1278"/>
    </row>
    <row r="1279" ht="12.75">
      <c r="Q1279"/>
    </row>
    <row r="1280" ht="12.75">
      <c r="Q1280"/>
    </row>
    <row r="1281" ht="12.75">
      <c r="Q1281"/>
    </row>
    <row r="1282" ht="12.75">
      <c r="Q1282"/>
    </row>
    <row r="1283" ht="12.75">
      <c r="Q1283"/>
    </row>
    <row r="1284" ht="12.75">
      <c r="Q1284"/>
    </row>
    <row r="1285" ht="12.75">
      <c r="Q1285"/>
    </row>
    <row r="1286" ht="12.75">
      <c r="Q1286"/>
    </row>
    <row r="1287" ht="12.75">
      <c r="Q1287"/>
    </row>
    <row r="1288" ht="12.75">
      <c r="Q1288"/>
    </row>
    <row r="1289" ht="12.75">
      <c r="Q1289"/>
    </row>
    <row r="1290" ht="12.75">
      <c r="Q1290"/>
    </row>
    <row r="1291" ht="12.75">
      <c r="Q1291"/>
    </row>
    <row r="1292" ht="12.75">
      <c r="Q1292"/>
    </row>
    <row r="1293" ht="12.75">
      <c r="Q1293"/>
    </row>
    <row r="1294" ht="12.75">
      <c r="Q1294"/>
    </row>
    <row r="1295" ht="12.75">
      <c r="Q1295"/>
    </row>
    <row r="1296" ht="12.75">
      <c r="Q1296"/>
    </row>
    <row r="1297" ht="12.75">
      <c r="Q1297"/>
    </row>
    <row r="1298" ht="12.75">
      <c r="Q1298"/>
    </row>
    <row r="1299" ht="12.75">
      <c r="Q1299"/>
    </row>
    <row r="1300" ht="12.75">
      <c r="Q1300"/>
    </row>
    <row r="1301" ht="12.75">
      <c r="Q1301"/>
    </row>
    <row r="1302" ht="12.75">
      <c r="Q1302"/>
    </row>
    <row r="1303" ht="12.75">
      <c r="Q1303"/>
    </row>
    <row r="1304" ht="12.75">
      <c r="Q1304"/>
    </row>
    <row r="1305" ht="12.75">
      <c r="Q1305"/>
    </row>
    <row r="1306" ht="12.75">
      <c r="Q1306"/>
    </row>
    <row r="1307" ht="12.75">
      <c r="Q1307"/>
    </row>
    <row r="1308" ht="12.75">
      <c r="Q1308"/>
    </row>
    <row r="1309" ht="12.75">
      <c r="Q1309"/>
    </row>
    <row r="1310" ht="12.75">
      <c r="Q1310"/>
    </row>
    <row r="1311" ht="12.75">
      <c r="Q1311"/>
    </row>
    <row r="1312" ht="12.75">
      <c r="Q1312"/>
    </row>
    <row r="1313" ht="12.75">
      <c r="Q1313"/>
    </row>
    <row r="1314" ht="12.75">
      <c r="Q1314"/>
    </row>
    <row r="1315" ht="12.75">
      <c r="Q1315"/>
    </row>
    <row r="1316" ht="12.75">
      <c r="Q1316"/>
    </row>
    <row r="1317" ht="12.75">
      <c r="Q1317"/>
    </row>
    <row r="1318" ht="12.75">
      <c r="Q1318"/>
    </row>
    <row r="1319" ht="12.75">
      <c r="Q1319"/>
    </row>
    <row r="1320" ht="12.75">
      <c r="Q1320"/>
    </row>
    <row r="1321" ht="12.75">
      <c r="Q1321"/>
    </row>
    <row r="1322" ht="12.75">
      <c r="Q1322"/>
    </row>
    <row r="1323" ht="12.75">
      <c r="Q1323"/>
    </row>
    <row r="1324" ht="12.75">
      <c r="Q1324"/>
    </row>
    <row r="1325" ht="12.75">
      <c r="Q1325"/>
    </row>
    <row r="1326" ht="12.75">
      <c r="Q1326"/>
    </row>
    <row r="1327" ht="12.75">
      <c r="Q1327"/>
    </row>
    <row r="1328" ht="12.75">
      <c r="Q1328"/>
    </row>
    <row r="1329" ht="12.75">
      <c r="Q1329"/>
    </row>
    <row r="1330" ht="12.75">
      <c r="Q1330"/>
    </row>
    <row r="1331" ht="12.75">
      <c r="Q1331"/>
    </row>
    <row r="1332" ht="12.75">
      <c r="Q1332"/>
    </row>
    <row r="1333" ht="12.75">
      <c r="Q1333"/>
    </row>
    <row r="1334" ht="12.75">
      <c r="Q1334"/>
    </row>
    <row r="1335" ht="12.75">
      <c r="Q1335"/>
    </row>
    <row r="1336" ht="12.75">
      <c r="Q1336"/>
    </row>
    <row r="1337" ht="12.75">
      <c r="Q1337"/>
    </row>
    <row r="1338" ht="12.75">
      <c r="Q1338"/>
    </row>
    <row r="1339" ht="12.75">
      <c r="Q1339"/>
    </row>
    <row r="1340" ht="12.75">
      <c r="Q1340"/>
    </row>
    <row r="1341" ht="12.75">
      <c r="Q1341"/>
    </row>
    <row r="1342" ht="12.75">
      <c r="Q1342"/>
    </row>
    <row r="1343" ht="12.75">
      <c r="Q1343"/>
    </row>
    <row r="1344" ht="12.75">
      <c r="Q1344"/>
    </row>
    <row r="1345" ht="12.75">
      <c r="Q1345"/>
    </row>
    <row r="1346" ht="12.75">
      <c r="Q1346"/>
    </row>
    <row r="1347" ht="12.75">
      <c r="Q1347"/>
    </row>
    <row r="1348" ht="12.75">
      <c r="Q1348"/>
    </row>
    <row r="1349" ht="12.75">
      <c r="Q1349"/>
    </row>
    <row r="1350" ht="12.75">
      <c r="Q1350"/>
    </row>
    <row r="1351" ht="12.75">
      <c r="Q1351"/>
    </row>
    <row r="1352" ht="12.75">
      <c r="Q1352"/>
    </row>
    <row r="1353" ht="12.75">
      <c r="Q1353"/>
    </row>
    <row r="1354" ht="12.75">
      <c r="Q1354"/>
    </row>
    <row r="1355" ht="12.75">
      <c r="Q1355"/>
    </row>
    <row r="1356" ht="12.75">
      <c r="Q1356"/>
    </row>
    <row r="1357" ht="12.75">
      <c r="Q1357"/>
    </row>
    <row r="1358" ht="12.75">
      <c r="Q1358"/>
    </row>
    <row r="1359" ht="12.75">
      <c r="Q1359"/>
    </row>
    <row r="1360" ht="12.75">
      <c r="Q1360"/>
    </row>
    <row r="1361" ht="12.75">
      <c r="Q1361"/>
    </row>
    <row r="1362" ht="12.75">
      <c r="Q1362"/>
    </row>
    <row r="1363" ht="12.75">
      <c r="Q1363"/>
    </row>
    <row r="1364" ht="12.75">
      <c r="Q1364"/>
    </row>
    <row r="1365" ht="12.75">
      <c r="Q1365"/>
    </row>
    <row r="1366" ht="12.75">
      <c r="Q1366"/>
    </row>
    <row r="1367" ht="12.75">
      <c r="Q1367"/>
    </row>
    <row r="1368" ht="12.75">
      <c r="Q1368"/>
    </row>
    <row r="1369" ht="12.75">
      <c r="Q1369"/>
    </row>
    <row r="1370" ht="12.75">
      <c r="Q1370"/>
    </row>
    <row r="1371" ht="12.75">
      <c r="Q1371"/>
    </row>
    <row r="1372" ht="12.75">
      <c r="Q1372"/>
    </row>
    <row r="1373" ht="12.75">
      <c r="Q1373"/>
    </row>
    <row r="1374" ht="12.75">
      <c r="Q1374"/>
    </row>
    <row r="1375" ht="12.75">
      <c r="Q1375"/>
    </row>
    <row r="1376" ht="12.75">
      <c r="Q1376"/>
    </row>
    <row r="1377" ht="12.75">
      <c r="Q1377"/>
    </row>
    <row r="1378" ht="12.75">
      <c r="Q1378"/>
    </row>
    <row r="1379" ht="12.75">
      <c r="Q1379"/>
    </row>
    <row r="1380" ht="12.75">
      <c r="Q1380"/>
    </row>
    <row r="1381" ht="12.75">
      <c r="Q1381"/>
    </row>
    <row r="1382" ht="12.75">
      <c r="Q1382"/>
    </row>
    <row r="1383" ht="12.75">
      <c r="Q1383"/>
    </row>
    <row r="1384" ht="12.75">
      <c r="Q1384"/>
    </row>
    <row r="1385" ht="12.75">
      <c r="Q1385"/>
    </row>
    <row r="1386" ht="12.75">
      <c r="Q1386"/>
    </row>
    <row r="1387" ht="12.75">
      <c r="Q1387"/>
    </row>
    <row r="1388" ht="12.75">
      <c r="Q1388"/>
    </row>
    <row r="1389" ht="12.75">
      <c r="Q1389"/>
    </row>
    <row r="1390" ht="12.75">
      <c r="Q1390"/>
    </row>
    <row r="1391" ht="12.75">
      <c r="Q1391"/>
    </row>
    <row r="1392" ht="12.75">
      <c r="Q1392"/>
    </row>
    <row r="1393" ht="12.75">
      <c r="Q1393"/>
    </row>
    <row r="1394" ht="12.75">
      <c r="Q1394"/>
    </row>
    <row r="1395" ht="12.75">
      <c r="Q1395"/>
    </row>
    <row r="1396" ht="12.75">
      <c r="Q1396"/>
    </row>
    <row r="1397" ht="12.75">
      <c r="Q1397"/>
    </row>
    <row r="1398" ht="12.75">
      <c r="Q1398"/>
    </row>
    <row r="1399" ht="12.75">
      <c r="Q1399"/>
    </row>
    <row r="1400" ht="12.75">
      <c r="Q1400"/>
    </row>
    <row r="1401" ht="12.75">
      <c r="Q1401"/>
    </row>
    <row r="1402" ht="12.75">
      <c r="Q1402"/>
    </row>
    <row r="1403" ht="12.75">
      <c r="Q1403"/>
    </row>
    <row r="1404" ht="12.75">
      <c r="Q1404"/>
    </row>
    <row r="1405" ht="12.75">
      <c r="Q1405"/>
    </row>
    <row r="1406" ht="12.75">
      <c r="Q1406"/>
    </row>
    <row r="1407" ht="12.75">
      <c r="Q1407"/>
    </row>
    <row r="1408" ht="12.75">
      <c r="Q1408"/>
    </row>
    <row r="1409" ht="12.75">
      <c r="Q1409"/>
    </row>
    <row r="1410" ht="12.75">
      <c r="Q1410"/>
    </row>
    <row r="1411" ht="12.75">
      <c r="Q1411"/>
    </row>
    <row r="1412" ht="12.75">
      <c r="Q1412"/>
    </row>
    <row r="1413" ht="12.75">
      <c r="Q1413"/>
    </row>
    <row r="1414" ht="12.75">
      <c r="Q1414"/>
    </row>
    <row r="1415" ht="12.75">
      <c r="Q1415"/>
    </row>
    <row r="1416" ht="12.75">
      <c r="Q1416"/>
    </row>
    <row r="1417" ht="12.75">
      <c r="Q1417"/>
    </row>
    <row r="1418" ht="12.75">
      <c r="Q1418"/>
    </row>
    <row r="1419" ht="12.75">
      <c r="Q1419"/>
    </row>
    <row r="1420" ht="12.75">
      <c r="Q1420"/>
    </row>
    <row r="1421" ht="12.75">
      <c r="Q1421"/>
    </row>
    <row r="1422" ht="12.75">
      <c r="Q1422"/>
    </row>
    <row r="1423" ht="12.75">
      <c r="Q1423"/>
    </row>
    <row r="1424" ht="12.75">
      <c r="Q1424"/>
    </row>
    <row r="1425" ht="12.75">
      <c r="Q1425"/>
    </row>
    <row r="1426" ht="12.75">
      <c r="Q1426"/>
    </row>
    <row r="1427" ht="12.75">
      <c r="Q1427"/>
    </row>
    <row r="1428" ht="12.75">
      <c r="Q1428"/>
    </row>
    <row r="1429" ht="12.75">
      <c r="Q1429"/>
    </row>
    <row r="1430" ht="12.75">
      <c r="Q1430"/>
    </row>
    <row r="1431" ht="12.75">
      <c r="Q1431"/>
    </row>
    <row r="1432" ht="12.75">
      <c r="Q1432"/>
    </row>
    <row r="1433" ht="12.75">
      <c r="Q1433"/>
    </row>
    <row r="1434" ht="12.75">
      <c r="Q1434"/>
    </row>
    <row r="1435" ht="12.75">
      <c r="Q1435"/>
    </row>
    <row r="1436" ht="12.75">
      <c r="Q1436"/>
    </row>
    <row r="1437" ht="12.75">
      <c r="Q1437"/>
    </row>
    <row r="1438" ht="12.75">
      <c r="Q1438"/>
    </row>
    <row r="1439" ht="12.75">
      <c r="Q1439"/>
    </row>
    <row r="1440" ht="12.75">
      <c r="Q1440"/>
    </row>
    <row r="1441" ht="12.75">
      <c r="Q1441"/>
    </row>
    <row r="1442" ht="12.75">
      <c r="Q1442"/>
    </row>
    <row r="1443" ht="12.75">
      <c r="Q1443"/>
    </row>
    <row r="1444" ht="12.75">
      <c r="Q1444"/>
    </row>
    <row r="1445" ht="12.75">
      <c r="Q1445"/>
    </row>
    <row r="1446" ht="12.75">
      <c r="Q1446"/>
    </row>
    <row r="1447" ht="12.75">
      <c r="Q1447"/>
    </row>
    <row r="1448" ht="12.75">
      <c r="Q1448"/>
    </row>
    <row r="1449" ht="12.75">
      <c r="Q1449"/>
    </row>
    <row r="1450" ht="12.75">
      <c r="Q1450"/>
    </row>
    <row r="1451" ht="12.75">
      <c r="Q1451"/>
    </row>
    <row r="1452" ht="12.75">
      <c r="Q1452"/>
    </row>
    <row r="1453" ht="12.75">
      <c r="Q1453"/>
    </row>
    <row r="1454" ht="12.75">
      <c r="Q1454"/>
    </row>
    <row r="1455" ht="12.75">
      <c r="Q1455"/>
    </row>
    <row r="1456" ht="12.75">
      <c r="Q1456"/>
    </row>
    <row r="1457" ht="12.75">
      <c r="Q1457"/>
    </row>
    <row r="1458" ht="12.75">
      <c r="Q1458"/>
    </row>
    <row r="1459" ht="12.75">
      <c r="Q1459"/>
    </row>
    <row r="1460" ht="12.75">
      <c r="Q1460"/>
    </row>
    <row r="1461" ht="12.75">
      <c r="Q1461"/>
    </row>
    <row r="1462" ht="12.75">
      <c r="Q1462"/>
    </row>
    <row r="1463" ht="12.75">
      <c r="Q1463"/>
    </row>
    <row r="1464" ht="12.75">
      <c r="Q1464"/>
    </row>
    <row r="1465" ht="12.75">
      <c r="Q1465"/>
    </row>
    <row r="1466" ht="12.75">
      <c r="Q1466"/>
    </row>
    <row r="1467" ht="12.75">
      <c r="Q1467"/>
    </row>
    <row r="1468" ht="12.75">
      <c r="Q1468"/>
    </row>
    <row r="1469" ht="12.75">
      <c r="Q1469"/>
    </row>
    <row r="1470" ht="12.75">
      <c r="Q1470"/>
    </row>
    <row r="1471" ht="12.75">
      <c r="Q1471"/>
    </row>
    <row r="1472" ht="12.75">
      <c r="Q1472"/>
    </row>
    <row r="1473" ht="12.75">
      <c r="Q1473"/>
    </row>
    <row r="1474" ht="12.75">
      <c r="Q1474"/>
    </row>
    <row r="1475" ht="12.75">
      <c r="Q1475"/>
    </row>
    <row r="1476" ht="12.75">
      <c r="Q1476"/>
    </row>
    <row r="1477" ht="12.75">
      <c r="Q1477"/>
    </row>
    <row r="1478" ht="12.75">
      <c r="Q1478"/>
    </row>
    <row r="1479" ht="12.75">
      <c r="Q1479"/>
    </row>
    <row r="1480" ht="12.75">
      <c r="Q1480"/>
    </row>
    <row r="1481" ht="12.75">
      <c r="Q1481"/>
    </row>
    <row r="1482" ht="12.75">
      <c r="Q1482"/>
    </row>
    <row r="1483" ht="12.75">
      <c r="Q1483"/>
    </row>
    <row r="1484" ht="12.75">
      <c r="Q1484"/>
    </row>
    <row r="1485" ht="12.75">
      <c r="Q1485"/>
    </row>
    <row r="1486" ht="12.75">
      <c r="Q1486"/>
    </row>
    <row r="1487" ht="12.75">
      <c r="Q1487"/>
    </row>
    <row r="1488" ht="12.75">
      <c r="Q1488"/>
    </row>
    <row r="1489" ht="12.75">
      <c r="Q1489"/>
    </row>
    <row r="1490" ht="12.75">
      <c r="Q1490"/>
    </row>
    <row r="1491" ht="12.75">
      <c r="Q1491"/>
    </row>
    <row r="1492" ht="12.75">
      <c r="Q1492"/>
    </row>
    <row r="1493" ht="12.75">
      <c r="Q1493"/>
    </row>
    <row r="1494" ht="12.75">
      <c r="Q1494"/>
    </row>
    <row r="1495" ht="12.75">
      <c r="Q1495"/>
    </row>
    <row r="1496" ht="12.75">
      <c r="Q1496"/>
    </row>
    <row r="1497" ht="12.75">
      <c r="Q1497"/>
    </row>
    <row r="1498" ht="12.75">
      <c r="Q1498"/>
    </row>
    <row r="1499" ht="12.75">
      <c r="Q1499"/>
    </row>
    <row r="1500" ht="12.75">
      <c r="Q1500"/>
    </row>
    <row r="1501" ht="12.75">
      <c r="Q1501"/>
    </row>
    <row r="1502" ht="12.75">
      <c r="Q1502"/>
    </row>
    <row r="1503" ht="12.75">
      <c r="Q1503"/>
    </row>
    <row r="1504" ht="12.75">
      <c r="Q1504"/>
    </row>
    <row r="1505" ht="12.75">
      <c r="Q1505"/>
    </row>
    <row r="1506" ht="12.75">
      <c r="Q1506"/>
    </row>
    <row r="1507" ht="12.75">
      <c r="Q1507"/>
    </row>
    <row r="1508" ht="12.75">
      <c r="Q1508"/>
    </row>
    <row r="1509" ht="12.75">
      <c r="Q1509"/>
    </row>
    <row r="1510" ht="12.75">
      <c r="Q1510"/>
    </row>
    <row r="1511" ht="12.75">
      <c r="Q1511"/>
    </row>
    <row r="1512" ht="12.75">
      <c r="Q1512"/>
    </row>
    <row r="1513" ht="12.75">
      <c r="Q1513"/>
    </row>
    <row r="1514" ht="12.75">
      <c r="Q1514"/>
    </row>
    <row r="1515" ht="12.75">
      <c r="Q1515"/>
    </row>
    <row r="1516" ht="12.75">
      <c r="Q1516"/>
    </row>
    <row r="1517" ht="12.75">
      <c r="Q1517"/>
    </row>
    <row r="1518" ht="12.75">
      <c r="Q1518"/>
    </row>
    <row r="1519" ht="12.75">
      <c r="Q1519"/>
    </row>
    <row r="1520" ht="12.75">
      <c r="Q1520"/>
    </row>
    <row r="1521" ht="12.75">
      <c r="Q1521"/>
    </row>
    <row r="1522" ht="12.75">
      <c r="Q1522"/>
    </row>
    <row r="1523" ht="12.75">
      <c r="Q1523"/>
    </row>
    <row r="1524" ht="12.75">
      <c r="Q1524"/>
    </row>
    <row r="1525" ht="12.75">
      <c r="Q1525"/>
    </row>
    <row r="1526" ht="12.75">
      <c r="Q1526"/>
    </row>
    <row r="1527" ht="12.75">
      <c r="Q1527"/>
    </row>
    <row r="1528" ht="12.75">
      <c r="Q1528"/>
    </row>
    <row r="1529" ht="12.75">
      <c r="Q1529"/>
    </row>
    <row r="1530" ht="12.75">
      <c r="Q1530"/>
    </row>
    <row r="1531" ht="12.75">
      <c r="Q1531"/>
    </row>
    <row r="1532" ht="12.75">
      <c r="Q1532"/>
    </row>
    <row r="1533" ht="12.75">
      <c r="Q1533"/>
    </row>
    <row r="1534" ht="12.75">
      <c r="Q1534"/>
    </row>
    <row r="1535" ht="12.75">
      <c r="Q1535"/>
    </row>
    <row r="1536" ht="12.75">
      <c r="Q1536"/>
    </row>
    <row r="1537" ht="12.75">
      <c r="Q1537"/>
    </row>
    <row r="1538" ht="12.75">
      <c r="Q1538"/>
    </row>
    <row r="1539" ht="12.75">
      <c r="Q1539"/>
    </row>
    <row r="1540" ht="12.75">
      <c r="Q1540"/>
    </row>
    <row r="1541" ht="12.75">
      <c r="Q1541"/>
    </row>
    <row r="1542" ht="12.75">
      <c r="Q1542"/>
    </row>
    <row r="1543" ht="12.75">
      <c r="Q1543"/>
    </row>
    <row r="1544" ht="12.75">
      <c r="Q1544"/>
    </row>
    <row r="1545" ht="12.75">
      <c r="Q1545"/>
    </row>
    <row r="1546" ht="12.75">
      <c r="Q1546"/>
    </row>
    <row r="1547" ht="12.75">
      <c r="Q1547"/>
    </row>
    <row r="1548" ht="12.75">
      <c r="Q1548"/>
    </row>
    <row r="1549" ht="12.75">
      <c r="Q1549"/>
    </row>
    <row r="1550" ht="12.75">
      <c r="Q1550"/>
    </row>
    <row r="1551" ht="12.75">
      <c r="Q1551"/>
    </row>
    <row r="1552" ht="12.75">
      <c r="Q1552"/>
    </row>
    <row r="1553" ht="12.75">
      <c r="Q1553"/>
    </row>
    <row r="1554" ht="12.75">
      <c r="Q1554"/>
    </row>
    <row r="1555" ht="12.75">
      <c r="Q1555"/>
    </row>
    <row r="1556" ht="12.75">
      <c r="Q1556"/>
    </row>
    <row r="1557" ht="12.75">
      <c r="Q1557"/>
    </row>
    <row r="1558" ht="12.75">
      <c r="Q1558"/>
    </row>
    <row r="1559" ht="12.75">
      <c r="Q1559"/>
    </row>
    <row r="1560" ht="12.75">
      <c r="Q1560"/>
    </row>
    <row r="1561" ht="12.75">
      <c r="Q1561"/>
    </row>
    <row r="1562" ht="12.75">
      <c r="Q1562"/>
    </row>
    <row r="1563" ht="12.75">
      <c r="Q1563"/>
    </row>
    <row r="1564" ht="12.75">
      <c r="Q1564"/>
    </row>
    <row r="1565" ht="12.75">
      <c r="Q1565"/>
    </row>
    <row r="1566" ht="12.75">
      <c r="Q1566"/>
    </row>
    <row r="1567" ht="12.75">
      <c r="Q1567"/>
    </row>
    <row r="1568" ht="12.75">
      <c r="Q1568"/>
    </row>
    <row r="1569" ht="12.75">
      <c r="Q1569"/>
    </row>
    <row r="1570" ht="12.75">
      <c r="Q1570"/>
    </row>
    <row r="1571" ht="12.75">
      <c r="Q1571"/>
    </row>
    <row r="1572" ht="12.75">
      <c r="Q1572"/>
    </row>
    <row r="1573" ht="12.75">
      <c r="Q1573"/>
    </row>
    <row r="1574" ht="12.75">
      <c r="Q1574"/>
    </row>
    <row r="1575" ht="12.75">
      <c r="Q1575"/>
    </row>
    <row r="1576" ht="12.75">
      <c r="Q1576"/>
    </row>
    <row r="1577" ht="12.75">
      <c r="Q1577"/>
    </row>
    <row r="1578" ht="12.75">
      <c r="Q1578"/>
    </row>
    <row r="1579" ht="12.75">
      <c r="Q1579"/>
    </row>
    <row r="1580" ht="12.75">
      <c r="Q1580"/>
    </row>
    <row r="1581" ht="12.75">
      <c r="Q1581"/>
    </row>
    <row r="1582" ht="12.75">
      <c r="Q1582"/>
    </row>
    <row r="1583" ht="12.75">
      <c r="Q1583"/>
    </row>
    <row r="1584" ht="12.75">
      <c r="Q1584"/>
    </row>
    <row r="1585" ht="12.75">
      <c r="Q1585"/>
    </row>
    <row r="1586" ht="12.75">
      <c r="Q1586"/>
    </row>
    <row r="1587" ht="12.75">
      <c r="Q1587"/>
    </row>
    <row r="1588" ht="12.75">
      <c r="Q1588"/>
    </row>
    <row r="1589" ht="12.75">
      <c r="Q1589"/>
    </row>
    <row r="1590" ht="12.75">
      <c r="Q1590"/>
    </row>
    <row r="1591" ht="12.75">
      <c r="Q1591"/>
    </row>
    <row r="1592" ht="12.75">
      <c r="Q1592"/>
    </row>
    <row r="1593" ht="12.75">
      <c r="Q1593"/>
    </row>
    <row r="1594" ht="12.75">
      <c r="Q1594"/>
    </row>
    <row r="1595" ht="12.75">
      <c r="Q1595"/>
    </row>
    <row r="1596" ht="12.75">
      <c r="Q1596"/>
    </row>
    <row r="1597" ht="12.75">
      <c r="Q1597"/>
    </row>
    <row r="1598" ht="12.75">
      <c r="Q1598"/>
    </row>
    <row r="1599" ht="12.75">
      <c r="Q1599"/>
    </row>
    <row r="1600" ht="12.75">
      <c r="Q1600"/>
    </row>
    <row r="1601" ht="12.75">
      <c r="Q1601"/>
    </row>
    <row r="1602" ht="12.75">
      <c r="Q1602"/>
    </row>
    <row r="1603" ht="12.75">
      <c r="Q1603"/>
    </row>
    <row r="1604" ht="12.75">
      <c r="Q1604"/>
    </row>
    <row r="1605" ht="12.75">
      <c r="Q1605"/>
    </row>
    <row r="1606" ht="12.75">
      <c r="Q1606"/>
    </row>
    <row r="1607" ht="12.75">
      <c r="Q1607"/>
    </row>
    <row r="1608" ht="12.75">
      <c r="Q1608"/>
    </row>
    <row r="1609" ht="12.75">
      <c r="Q1609"/>
    </row>
    <row r="1610" ht="12.75">
      <c r="Q1610"/>
    </row>
    <row r="1611" ht="12.75">
      <c r="Q1611"/>
    </row>
    <row r="1612" ht="12.75">
      <c r="Q1612"/>
    </row>
    <row r="1613" ht="12.75">
      <c r="Q1613"/>
    </row>
    <row r="1614" ht="12.75">
      <c r="Q1614"/>
    </row>
    <row r="1615" ht="12.75">
      <c r="Q1615"/>
    </row>
    <row r="1616" ht="12.75">
      <c r="Q1616"/>
    </row>
    <row r="1617" ht="12.75">
      <c r="Q1617"/>
    </row>
    <row r="1618" ht="12.75">
      <c r="Q1618"/>
    </row>
    <row r="1619" ht="12.75">
      <c r="Q1619"/>
    </row>
    <row r="1620" ht="12.75">
      <c r="Q1620"/>
    </row>
    <row r="1621" ht="12.75">
      <c r="Q1621"/>
    </row>
    <row r="1622" ht="12.75">
      <c r="Q1622"/>
    </row>
    <row r="1623" ht="12.75">
      <c r="Q1623"/>
    </row>
    <row r="1624" ht="12.75">
      <c r="Q1624"/>
    </row>
    <row r="1625" ht="12.75">
      <c r="Q1625"/>
    </row>
    <row r="1626" ht="12.75">
      <c r="Q1626"/>
    </row>
    <row r="1627" ht="12.75">
      <c r="Q1627"/>
    </row>
    <row r="1628" ht="12.75">
      <c r="Q1628"/>
    </row>
    <row r="1629" ht="12.75">
      <c r="Q1629"/>
    </row>
    <row r="1630" ht="12.75">
      <c r="Q1630"/>
    </row>
    <row r="1631" ht="12.75">
      <c r="Q1631"/>
    </row>
    <row r="1632" ht="12.75">
      <c r="Q1632"/>
    </row>
    <row r="1633" ht="12.75">
      <c r="Q1633"/>
    </row>
    <row r="1634" ht="12.75">
      <c r="Q1634"/>
    </row>
    <row r="1635" ht="12.75">
      <c r="Q1635"/>
    </row>
    <row r="1636" ht="12.75">
      <c r="Q1636"/>
    </row>
    <row r="1637" ht="12.75">
      <c r="Q1637"/>
    </row>
    <row r="1638" ht="12.75">
      <c r="Q1638"/>
    </row>
    <row r="1639" ht="12.75">
      <c r="Q1639"/>
    </row>
    <row r="1640" ht="12.75">
      <c r="Q1640"/>
    </row>
    <row r="1641" ht="12.75">
      <c r="Q1641"/>
    </row>
    <row r="1642" ht="12.75">
      <c r="Q1642"/>
    </row>
    <row r="1643" ht="12.75">
      <c r="Q1643"/>
    </row>
    <row r="1644" ht="12.75">
      <c r="Q1644"/>
    </row>
    <row r="1645" ht="12.75">
      <c r="Q1645"/>
    </row>
    <row r="1646" ht="12.75">
      <c r="Q1646"/>
    </row>
    <row r="1647" ht="12.75">
      <c r="Q1647"/>
    </row>
    <row r="1648" ht="12.75">
      <c r="Q1648"/>
    </row>
    <row r="1649" ht="12.75">
      <c r="Q1649"/>
    </row>
    <row r="1650" ht="12.75">
      <c r="Q1650"/>
    </row>
    <row r="1651" ht="12.75">
      <c r="Q1651"/>
    </row>
    <row r="1652" ht="12.75">
      <c r="Q1652"/>
    </row>
    <row r="1653" ht="12.75">
      <c r="Q1653"/>
    </row>
    <row r="1654" ht="12.75">
      <c r="Q1654"/>
    </row>
    <row r="1655" ht="12.75">
      <c r="Q1655"/>
    </row>
    <row r="1656" ht="12.75">
      <c r="Q1656"/>
    </row>
    <row r="1657" ht="12.75">
      <c r="Q1657"/>
    </row>
    <row r="1658" ht="12.75">
      <c r="Q1658"/>
    </row>
    <row r="1659" ht="12.75">
      <c r="Q1659"/>
    </row>
    <row r="1660" ht="12.75">
      <c r="Q1660"/>
    </row>
    <row r="1661" ht="12.75">
      <c r="Q1661"/>
    </row>
    <row r="1662" ht="12.75">
      <c r="Q1662"/>
    </row>
    <row r="1663" ht="12.75">
      <c r="Q1663"/>
    </row>
    <row r="1664" ht="12.75">
      <c r="Q1664"/>
    </row>
    <row r="1665" ht="12.75">
      <c r="Q1665"/>
    </row>
    <row r="1666" ht="12.75">
      <c r="Q1666"/>
    </row>
    <row r="1667" ht="12.75">
      <c r="Q1667"/>
    </row>
    <row r="1668" ht="12.75">
      <c r="Q1668"/>
    </row>
    <row r="1669" ht="12.75">
      <c r="Q1669"/>
    </row>
    <row r="1670" ht="12.75">
      <c r="Q1670"/>
    </row>
    <row r="1671" ht="12.75">
      <c r="Q1671"/>
    </row>
    <row r="1672" ht="12.75">
      <c r="Q1672"/>
    </row>
    <row r="1673" ht="12.75">
      <c r="Q1673"/>
    </row>
    <row r="1674" ht="12.75">
      <c r="Q1674"/>
    </row>
    <row r="1675" ht="12.75">
      <c r="Q1675"/>
    </row>
    <row r="1676" ht="12.75">
      <c r="Q1676"/>
    </row>
    <row r="1677" ht="12.75">
      <c r="Q1677"/>
    </row>
    <row r="1678" ht="12.75">
      <c r="Q1678"/>
    </row>
    <row r="1679" ht="12.75">
      <c r="Q1679"/>
    </row>
    <row r="1680" ht="12.75">
      <c r="Q1680"/>
    </row>
    <row r="1681" ht="12.75">
      <c r="Q1681"/>
    </row>
    <row r="1682" ht="12.75">
      <c r="Q1682"/>
    </row>
    <row r="1683" ht="12.75">
      <c r="Q1683"/>
    </row>
    <row r="1684" ht="12.75">
      <c r="Q1684"/>
    </row>
    <row r="1685" ht="12.75">
      <c r="Q1685"/>
    </row>
    <row r="1686" ht="12.75">
      <c r="Q1686"/>
    </row>
    <row r="1687" ht="12.75">
      <c r="Q1687"/>
    </row>
    <row r="1688" ht="12.75">
      <c r="Q1688"/>
    </row>
    <row r="1689" ht="12.75">
      <c r="Q1689"/>
    </row>
    <row r="1690" ht="12.75">
      <c r="Q1690"/>
    </row>
    <row r="1691" ht="12.75">
      <c r="Q1691"/>
    </row>
    <row r="1692" ht="12.75">
      <c r="Q1692"/>
    </row>
    <row r="1693" ht="12.75">
      <c r="Q1693"/>
    </row>
    <row r="1694" ht="12.75">
      <c r="Q1694"/>
    </row>
    <row r="1695" ht="12.75">
      <c r="Q1695"/>
    </row>
    <row r="1696" ht="12.75">
      <c r="Q1696"/>
    </row>
    <row r="1697" ht="12.75">
      <c r="Q1697"/>
    </row>
    <row r="1698" ht="12.75">
      <c r="Q1698"/>
    </row>
    <row r="1699" ht="12.75">
      <c r="Q1699"/>
    </row>
    <row r="1700" ht="12.75">
      <c r="Q1700"/>
    </row>
    <row r="1701" ht="12.75">
      <c r="Q1701"/>
    </row>
    <row r="1702" ht="12.75">
      <c r="Q1702"/>
    </row>
    <row r="1703" ht="12.75">
      <c r="Q1703"/>
    </row>
    <row r="1704" ht="12.75">
      <c r="Q1704"/>
    </row>
    <row r="1705" ht="12.75">
      <c r="Q1705"/>
    </row>
    <row r="1706" ht="12.75">
      <c r="Q1706"/>
    </row>
    <row r="1707" ht="12.75">
      <c r="Q1707"/>
    </row>
    <row r="1708" ht="12.75">
      <c r="Q1708"/>
    </row>
    <row r="1709" ht="12.75">
      <c r="Q1709"/>
    </row>
    <row r="1710" ht="12.75">
      <c r="Q1710"/>
    </row>
    <row r="1711" ht="12.75">
      <c r="Q1711"/>
    </row>
    <row r="1712" ht="12.75">
      <c r="Q1712"/>
    </row>
    <row r="1713" ht="12.75">
      <c r="Q1713"/>
    </row>
    <row r="1714" ht="12.75">
      <c r="Q1714"/>
    </row>
    <row r="1715" ht="12.75">
      <c r="Q1715"/>
    </row>
    <row r="1716" ht="12.75">
      <c r="Q1716"/>
    </row>
    <row r="1717" ht="12.75">
      <c r="Q1717"/>
    </row>
    <row r="1718" ht="12.75">
      <c r="Q1718"/>
    </row>
    <row r="1719" ht="12.75">
      <c r="Q1719"/>
    </row>
    <row r="1720" ht="12.75">
      <c r="Q1720"/>
    </row>
    <row r="1721" ht="12.75">
      <c r="Q1721"/>
    </row>
    <row r="1722" ht="12.75">
      <c r="Q1722"/>
    </row>
    <row r="1723" ht="12.75">
      <c r="Q1723"/>
    </row>
    <row r="1724" ht="12.75">
      <c r="Q1724"/>
    </row>
    <row r="1725" ht="12.75">
      <c r="Q1725"/>
    </row>
    <row r="1726" ht="12.75">
      <c r="Q1726"/>
    </row>
    <row r="1727" ht="12.75">
      <c r="Q1727"/>
    </row>
    <row r="1728" ht="12.75">
      <c r="Q1728"/>
    </row>
    <row r="1729" ht="12.75">
      <c r="Q1729"/>
    </row>
    <row r="1730" ht="12.75">
      <c r="Q1730"/>
    </row>
    <row r="1731" ht="12.75">
      <c r="Q1731"/>
    </row>
    <row r="1732" ht="12.75">
      <c r="Q1732"/>
    </row>
    <row r="1733" ht="12.75">
      <c r="Q1733"/>
    </row>
    <row r="1734" ht="12.75">
      <c r="Q1734"/>
    </row>
    <row r="1735" ht="12.75">
      <c r="Q1735"/>
    </row>
    <row r="1736" ht="12.75">
      <c r="Q1736"/>
    </row>
    <row r="1737" ht="12.75">
      <c r="Q1737"/>
    </row>
    <row r="1738" ht="12.75">
      <c r="Q1738"/>
    </row>
    <row r="1739" ht="12.75">
      <c r="Q1739"/>
    </row>
    <row r="1740" ht="12.75">
      <c r="Q1740"/>
    </row>
    <row r="1741" ht="12.75">
      <c r="Q1741"/>
    </row>
    <row r="1742" ht="12.75">
      <c r="Q1742"/>
    </row>
    <row r="1743" ht="12.75">
      <c r="Q1743"/>
    </row>
    <row r="1744" ht="12.75">
      <c r="Q1744"/>
    </row>
    <row r="1745" ht="12.75">
      <c r="Q1745"/>
    </row>
    <row r="1746" ht="12.75">
      <c r="Q1746"/>
    </row>
    <row r="1747" ht="12.75">
      <c r="Q1747"/>
    </row>
    <row r="1748" ht="12.75">
      <c r="Q1748"/>
    </row>
    <row r="1749" ht="12.75">
      <c r="Q1749"/>
    </row>
    <row r="1750" ht="12.75">
      <c r="Q1750"/>
    </row>
    <row r="1751" ht="12.75">
      <c r="Q1751"/>
    </row>
    <row r="1752" ht="12.75">
      <c r="Q1752"/>
    </row>
    <row r="1753" ht="12.75">
      <c r="Q1753"/>
    </row>
    <row r="1754" ht="12.75">
      <c r="Q1754"/>
    </row>
    <row r="1755" ht="12.75">
      <c r="Q1755"/>
    </row>
    <row r="1756" ht="12.75">
      <c r="Q1756"/>
    </row>
    <row r="1757" ht="12.75">
      <c r="Q1757"/>
    </row>
    <row r="1758" ht="12.75">
      <c r="Q1758"/>
    </row>
    <row r="1759" ht="12.75">
      <c r="Q1759"/>
    </row>
    <row r="1760" ht="12.75">
      <c r="Q1760"/>
    </row>
    <row r="1761" ht="12.75">
      <c r="Q1761"/>
    </row>
    <row r="1762" ht="12.75">
      <c r="Q1762"/>
    </row>
    <row r="1763" ht="12.75">
      <c r="Q1763"/>
    </row>
    <row r="1764" ht="12.75">
      <c r="Q1764"/>
    </row>
    <row r="1765" ht="12.75">
      <c r="Q1765"/>
    </row>
    <row r="1766" ht="12.75">
      <c r="Q1766"/>
    </row>
    <row r="1767" ht="12.75">
      <c r="Q1767"/>
    </row>
    <row r="1768" ht="12.75">
      <c r="Q1768"/>
    </row>
    <row r="1769" ht="12.75">
      <c r="Q1769"/>
    </row>
    <row r="1770" ht="12.75">
      <c r="Q1770"/>
    </row>
    <row r="1771" ht="12.75">
      <c r="Q1771"/>
    </row>
    <row r="1772" ht="12.75">
      <c r="Q1772"/>
    </row>
    <row r="1773" ht="12.75">
      <c r="Q1773"/>
    </row>
    <row r="1774" ht="12.75">
      <c r="Q1774"/>
    </row>
    <row r="1775" ht="12.75">
      <c r="Q1775"/>
    </row>
    <row r="1776" ht="12.75">
      <c r="Q1776"/>
    </row>
    <row r="1777" ht="12.75">
      <c r="Q1777"/>
    </row>
    <row r="1778" ht="12.75">
      <c r="Q1778"/>
    </row>
    <row r="1779" ht="12.75">
      <c r="Q1779"/>
    </row>
    <row r="1780" ht="12.75">
      <c r="Q1780"/>
    </row>
    <row r="1781" ht="12.75">
      <c r="Q1781"/>
    </row>
    <row r="1782" ht="12.75">
      <c r="Q1782"/>
    </row>
    <row r="1783" ht="12.75">
      <c r="Q1783"/>
    </row>
    <row r="1784" ht="12.75">
      <c r="Q1784"/>
    </row>
    <row r="1785" ht="12.75">
      <c r="Q1785"/>
    </row>
    <row r="1786" ht="12.75">
      <c r="Q1786"/>
    </row>
    <row r="1787" ht="12.75">
      <c r="Q1787"/>
    </row>
    <row r="1788" ht="12.75">
      <c r="Q1788"/>
    </row>
    <row r="1789" ht="12.75">
      <c r="Q1789"/>
    </row>
    <row r="1790" ht="12.75">
      <c r="Q1790"/>
    </row>
    <row r="1791" ht="12.75">
      <c r="Q1791"/>
    </row>
    <row r="1792" ht="12.75">
      <c r="Q1792"/>
    </row>
    <row r="1793" ht="12.75">
      <c r="Q1793"/>
    </row>
    <row r="1794" ht="12.75">
      <c r="Q1794"/>
    </row>
    <row r="1795" ht="12.75">
      <c r="Q1795"/>
    </row>
    <row r="1796" ht="12.75">
      <c r="Q1796"/>
    </row>
    <row r="1797" ht="12.75">
      <c r="Q1797"/>
    </row>
    <row r="1798" ht="12.75">
      <c r="Q1798"/>
    </row>
    <row r="1799" ht="12.75">
      <c r="Q1799"/>
    </row>
    <row r="1800" ht="12.75">
      <c r="Q1800"/>
    </row>
    <row r="1801" ht="12.75">
      <c r="Q1801"/>
    </row>
    <row r="1802" ht="12.75">
      <c r="Q1802"/>
    </row>
    <row r="1803" ht="12.75">
      <c r="Q1803"/>
    </row>
    <row r="1804" ht="12.75">
      <c r="Q1804"/>
    </row>
    <row r="1805" ht="12.75">
      <c r="Q1805"/>
    </row>
    <row r="1806" ht="12.75">
      <c r="Q1806"/>
    </row>
    <row r="1807" ht="12.75">
      <c r="Q1807"/>
    </row>
    <row r="1808" ht="12.75">
      <c r="Q1808"/>
    </row>
    <row r="1809" ht="12.75">
      <c r="Q1809"/>
    </row>
    <row r="1810" ht="12.75">
      <c r="Q1810"/>
    </row>
    <row r="1811" ht="12.75">
      <c r="Q1811"/>
    </row>
    <row r="1812" ht="12.75">
      <c r="Q1812"/>
    </row>
    <row r="1813" ht="12.75">
      <c r="Q1813"/>
    </row>
    <row r="1814" ht="12.75">
      <c r="Q1814"/>
    </row>
    <row r="1815" ht="12.75">
      <c r="Q1815"/>
    </row>
    <row r="1816" ht="12.75">
      <c r="Q1816"/>
    </row>
    <row r="1817" ht="12.75">
      <c r="Q1817"/>
    </row>
    <row r="1818" ht="12.75">
      <c r="Q1818"/>
    </row>
    <row r="1819" ht="12.75">
      <c r="Q1819"/>
    </row>
    <row r="1820" ht="12.75">
      <c r="Q1820"/>
    </row>
    <row r="1821" ht="12.75">
      <c r="Q1821"/>
    </row>
    <row r="1822" ht="12.75">
      <c r="Q1822"/>
    </row>
    <row r="1823" ht="12.75">
      <c r="Q1823"/>
    </row>
    <row r="1824" ht="12.75">
      <c r="Q1824"/>
    </row>
    <row r="1825" ht="12.75">
      <c r="Q1825"/>
    </row>
    <row r="1826" ht="12.75">
      <c r="Q1826"/>
    </row>
    <row r="1827" ht="12.75">
      <c r="Q1827"/>
    </row>
    <row r="1828" ht="12.75">
      <c r="Q1828"/>
    </row>
    <row r="1829" ht="12.75">
      <c r="Q1829"/>
    </row>
    <row r="1830" ht="12.75">
      <c r="Q1830"/>
    </row>
    <row r="1831" ht="12.75">
      <c r="Q1831"/>
    </row>
    <row r="1832" ht="12.75">
      <c r="Q1832"/>
    </row>
    <row r="1833" ht="12.75">
      <c r="Q1833"/>
    </row>
    <row r="1834" ht="12.75">
      <c r="Q1834"/>
    </row>
    <row r="1835" ht="12.75">
      <c r="Q1835"/>
    </row>
    <row r="1836" ht="12.75">
      <c r="Q1836"/>
    </row>
    <row r="1837" ht="12.75">
      <c r="Q1837"/>
    </row>
    <row r="1838" ht="12.75">
      <c r="Q1838"/>
    </row>
    <row r="1839" ht="12.75">
      <c r="Q1839"/>
    </row>
    <row r="1840" ht="12.75">
      <c r="Q1840"/>
    </row>
    <row r="1841" ht="12.75">
      <c r="Q1841"/>
    </row>
    <row r="1842" ht="12.75">
      <c r="Q1842"/>
    </row>
    <row r="1843" ht="12.75">
      <c r="Q1843"/>
    </row>
    <row r="1844" ht="12.75">
      <c r="Q1844"/>
    </row>
    <row r="1845" ht="12.75">
      <c r="Q1845"/>
    </row>
    <row r="1846" ht="12.75">
      <c r="Q1846"/>
    </row>
    <row r="1847" ht="12.75">
      <c r="Q1847"/>
    </row>
    <row r="1848" ht="12.75">
      <c r="Q1848"/>
    </row>
    <row r="1849" ht="12.75">
      <c r="Q1849"/>
    </row>
    <row r="1850" ht="12.75">
      <c r="Q1850"/>
    </row>
    <row r="1851" ht="12.75">
      <c r="Q1851"/>
    </row>
    <row r="1852" ht="12.75">
      <c r="Q1852"/>
    </row>
    <row r="1853" ht="12.75">
      <c r="Q1853"/>
    </row>
    <row r="1854" ht="12.75">
      <c r="Q1854"/>
    </row>
    <row r="1855" ht="12.75">
      <c r="Q1855"/>
    </row>
    <row r="1856" ht="12.75">
      <c r="Q1856"/>
    </row>
    <row r="1857" ht="12.75">
      <c r="Q1857"/>
    </row>
    <row r="1858" ht="12.75">
      <c r="Q1858"/>
    </row>
    <row r="1859" ht="12.75">
      <c r="Q1859"/>
    </row>
    <row r="1860" ht="12.75">
      <c r="Q1860"/>
    </row>
    <row r="1861" ht="12.75">
      <c r="Q1861"/>
    </row>
    <row r="1862" ht="12.75">
      <c r="Q1862"/>
    </row>
    <row r="1863" ht="12.75">
      <c r="Q1863"/>
    </row>
    <row r="1864" ht="12.75">
      <c r="Q1864"/>
    </row>
    <row r="1865" ht="12.75">
      <c r="Q1865"/>
    </row>
    <row r="1866" ht="12.75">
      <c r="Q1866"/>
    </row>
    <row r="1867" ht="12.75">
      <c r="Q1867"/>
    </row>
    <row r="1868" ht="12.75">
      <c r="Q1868"/>
    </row>
    <row r="1869" ht="12.75">
      <c r="Q1869"/>
    </row>
    <row r="1870" ht="12.75">
      <c r="Q1870"/>
    </row>
    <row r="1871" ht="12.75">
      <c r="Q1871"/>
    </row>
    <row r="1872" ht="12.75">
      <c r="Q1872"/>
    </row>
    <row r="1873" ht="12.75">
      <c r="Q1873"/>
    </row>
    <row r="1874" ht="12.75">
      <c r="Q1874"/>
    </row>
    <row r="1875" ht="12.75">
      <c r="Q1875"/>
    </row>
    <row r="1876" ht="12.75">
      <c r="Q1876"/>
    </row>
    <row r="1877" ht="12.75">
      <c r="Q1877"/>
    </row>
    <row r="1878" ht="12.75">
      <c r="Q1878"/>
    </row>
    <row r="1879" ht="12.75">
      <c r="Q1879"/>
    </row>
    <row r="1880" ht="12.75">
      <c r="Q1880"/>
    </row>
    <row r="1881" ht="12.75">
      <c r="Q1881"/>
    </row>
    <row r="1882" ht="12.75">
      <c r="Q1882"/>
    </row>
    <row r="1883" ht="12.75">
      <c r="Q1883"/>
    </row>
    <row r="1884" ht="12.75">
      <c r="Q1884"/>
    </row>
    <row r="1885" ht="12.75">
      <c r="Q1885"/>
    </row>
    <row r="1886" ht="12.75">
      <c r="Q1886"/>
    </row>
    <row r="1887" ht="12.75">
      <c r="Q1887"/>
    </row>
    <row r="1888" ht="12.75">
      <c r="Q1888"/>
    </row>
    <row r="1889" ht="12.75">
      <c r="Q1889"/>
    </row>
    <row r="1890" ht="12.75">
      <c r="Q1890"/>
    </row>
    <row r="1891" ht="12.75">
      <c r="Q1891"/>
    </row>
    <row r="1892" ht="12.75">
      <c r="Q1892"/>
    </row>
    <row r="1893" ht="12.75">
      <c r="Q1893"/>
    </row>
    <row r="1894" ht="12.75">
      <c r="Q1894"/>
    </row>
    <row r="1895" ht="12.75">
      <c r="Q1895"/>
    </row>
    <row r="1896" ht="12.75">
      <c r="Q1896"/>
    </row>
    <row r="1897" ht="12.75">
      <c r="Q1897"/>
    </row>
    <row r="1898" ht="12.75">
      <c r="Q1898"/>
    </row>
    <row r="1899" ht="12.75">
      <c r="Q1899"/>
    </row>
    <row r="1900" ht="12.75">
      <c r="Q1900"/>
    </row>
    <row r="1901" ht="12.75">
      <c r="Q1901"/>
    </row>
    <row r="1902" ht="12.75">
      <c r="Q1902"/>
    </row>
    <row r="1903" ht="12.75">
      <c r="Q1903"/>
    </row>
    <row r="1904" ht="12.75">
      <c r="Q1904"/>
    </row>
    <row r="1905" ht="12.75">
      <c r="Q1905"/>
    </row>
    <row r="1906" ht="12.75">
      <c r="Q1906"/>
    </row>
    <row r="1907" ht="12.75">
      <c r="Q1907"/>
    </row>
    <row r="1908" ht="12.75">
      <c r="Q1908"/>
    </row>
    <row r="1909" ht="12.75">
      <c r="Q1909"/>
    </row>
    <row r="1910" ht="12.75">
      <c r="Q1910"/>
    </row>
    <row r="1911" ht="12.75">
      <c r="Q1911"/>
    </row>
    <row r="1912" ht="12.75">
      <c r="Q1912"/>
    </row>
    <row r="1913" ht="12.75">
      <c r="Q1913"/>
    </row>
    <row r="1914" ht="12.75">
      <c r="Q1914"/>
    </row>
    <row r="1915" ht="12.75">
      <c r="Q1915"/>
    </row>
    <row r="1916" ht="12.75">
      <c r="Q1916"/>
    </row>
    <row r="1917" ht="12.75">
      <c r="Q1917"/>
    </row>
    <row r="1918" ht="12.75">
      <c r="Q1918"/>
    </row>
    <row r="1919" ht="12.75">
      <c r="Q1919"/>
    </row>
    <row r="1920" ht="12.75">
      <c r="Q1920"/>
    </row>
    <row r="1921" ht="12.75">
      <c r="Q1921"/>
    </row>
    <row r="1922" ht="12.75">
      <c r="Q1922"/>
    </row>
    <row r="1923" ht="12.75">
      <c r="Q1923"/>
    </row>
    <row r="1924" ht="12.75">
      <c r="Q1924"/>
    </row>
    <row r="1925" ht="12.75">
      <c r="Q1925"/>
    </row>
    <row r="1926" ht="12.75">
      <c r="Q1926"/>
    </row>
    <row r="1927" ht="12.75">
      <c r="Q1927"/>
    </row>
    <row r="1928" ht="12.75">
      <c r="Q1928"/>
    </row>
    <row r="1929" ht="12.75">
      <c r="Q1929"/>
    </row>
    <row r="1930" ht="12.75">
      <c r="Q1930"/>
    </row>
    <row r="1931" ht="12.75">
      <c r="Q1931"/>
    </row>
    <row r="1932" ht="12.75">
      <c r="Q1932"/>
    </row>
    <row r="1933" ht="12.75">
      <c r="Q1933"/>
    </row>
    <row r="1934" ht="12.75">
      <c r="Q1934"/>
    </row>
    <row r="1935" ht="12.75">
      <c r="Q1935"/>
    </row>
    <row r="1936" ht="12.75">
      <c r="Q1936"/>
    </row>
    <row r="1937" ht="12.75">
      <c r="Q1937"/>
    </row>
    <row r="1938" ht="12.75">
      <c r="Q1938"/>
    </row>
    <row r="1939" ht="12.75">
      <c r="Q1939"/>
    </row>
    <row r="1940" ht="12.75">
      <c r="Q1940"/>
    </row>
    <row r="1941" ht="12.75">
      <c r="Q1941"/>
    </row>
    <row r="1942" ht="12.75">
      <c r="Q1942"/>
    </row>
    <row r="1943" ht="12.75">
      <c r="Q1943"/>
    </row>
    <row r="1944" ht="12.75">
      <c r="Q1944"/>
    </row>
    <row r="1945" ht="12.75">
      <c r="Q1945"/>
    </row>
    <row r="1946" ht="12.75">
      <c r="Q1946"/>
    </row>
    <row r="1947" ht="12.75">
      <c r="Q1947"/>
    </row>
    <row r="1948" ht="12.75">
      <c r="Q1948"/>
    </row>
    <row r="1949" ht="12.75">
      <c r="Q1949"/>
    </row>
    <row r="1950" ht="12.75">
      <c r="Q1950"/>
    </row>
    <row r="1951" ht="12.75">
      <c r="Q1951"/>
    </row>
    <row r="1952" ht="12.75">
      <c r="Q1952"/>
    </row>
    <row r="1953" ht="12.75">
      <c r="Q1953"/>
    </row>
    <row r="1954" ht="12.75">
      <c r="Q1954"/>
    </row>
    <row r="1955" ht="12.75">
      <c r="Q1955"/>
    </row>
    <row r="1956" ht="12.75">
      <c r="Q1956"/>
    </row>
    <row r="1957" ht="12.75">
      <c r="Q1957"/>
    </row>
    <row r="1958" ht="12.75">
      <c r="Q1958"/>
    </row>
    <row r="1959" ht="12.75">
      <c r="Q1959"/>
    </row>
    <row r="1960" ht="12.75">
      <c r="Q1960"/>
    </row>
    <row r="1961" ht="12.75">
      <c r="Q1961"/>
    </row>
    <row r="1962" ht="12.75">
      <c r="Q1962"/>
    </row>
    <row r="1963" ht="12.75">
      <c r="Q1963"/>
    </row>
    <row r="1964" ht="12.75">
      <c r="Q1964"/>
    </row>
    <row r="1965" ht="12.75">
      <c r="Q1965"/>
    </row>
    <row r="1966" ht="12.75">
      <c r="Q1966"/>
    </row>
    <row r="1967" ht="12.75">
      <c r="Q1967"/>
    </row>
    <row r="1968" ht="12.75">
      <c r="Q1968"/>
    </row>
    <row r="1969" ht="12.75">
      <c r="Q1969"/>
    </row>
    <row r="1970" ht="12.75">
      <c r="Q1970"/>
    </row>
    <row r="1971" ht="12.75">
      <c r="Q1971"/>
    </row>
    <row r="1972" ht="12.75">
      <c r="Q1972"/>
    </row>
    <row r="1973" ht="12.75">
      <c r="Q1973"/>
    </row>
    <row r="1974" ht="12.75">
      <c r="Q1974"/>
    </row>
    <row r="1975" ht="12.75">
      <c r="Q1975"/>
    </row>
    <row r="1976" ht="12.75">
      <c r="Q1976"/>
    </row>
    <row r="1977" ht="12.75">
      <c r="Q1977"/>
    </row>
    <row r="1978" ht="12.75">
      <c r="Q1978"/>
    </row>
    <row r="1979" ht="12.75">
      <c r="Q1979"/>
    </row>
    <row r="1980" ht="12.75">
      <c r="Q1980"/>
    </row>
    <row r="1981" ht="12.75">
      <c r="Q1981"/>
    </row>
    <row r="1982" ht="12.75">
      <c r="Q1982"/>
    </row>
    <row r="1983" ht="12.75">
      <c r="Q1983"/>
    </row>
    <row r="1984" ht="12.75">
      <c r="Q1984"/>
    </row>
    <row r="1985" ht="12.75">
      <c r="Q1985"/>
    </row>
    <row r="1986" ht="12.75">
      <c r="Q1986"/>
    </row>
    <row r="1987" ht="12.75">
      <c r="Q1987"/>
    </row>
    <row r="1988" ht="12.75">
      <c r="Q1988"/>
    </row>
    <row r="1989" ht="12.75">
      <c r="Q1989"/>
    </row>
    <row r="1990" ht="12.75">
      <c r="Q1990"/>
    </row>
    <row r="1991" ht="12.75">
      <c r="Q1991"/>
    </row>
    <row r="1992" ht="12.75">
      <c r="Q1992"/>
    </row>
    <row r="1993" ht="12.75">
      <c r="Q1993"/>
    </row>
    <row r="1994" ht="12.75">
      <c r="Q1994"/>
    </row>
    <row r="1995" ht="12.75">
      <c r="Q1995"/>
    </row>
    <row r="1996" ht="12.75">
      <c r="Q1996"/>
    </row>
    <row r="1997" ht="12.75">
      <c r="Q1997"/>
    </row>
    <row r="1998" ht="12.75">
      <c r="Q1998"/>
    </row>
    <row r="1999" ht="12.75">
      <c r="Q1999"/>
    </row>
    <row r="2000" ht="12.75">
      <c r="Q2000"/>
    </row>
    <row r="2001" ht="12.75">
      <c r="Q2001"/>
    </row>
    <row r="2002" ht="12.75">
      <c r="Q2002"/>
    </row>
    <row r="2003" ht="12.75">
      <c r="Q2003"/>
    </row>
    <row r="2004" ht="12.75">
      <c r="Q2004"/>
    </row>
    <row r="2005" ht="12.75">
      <c r="Q2005"/>
    </row>
    <row r="2006" ht="12.75">
      <c r="Q2006"/>
    </row>
    <row r="2007" ht="12.75">
      <c r="Q2007"/>
    </row>
    <row r="2008" ht="12.75">
      <c r="Q2008"/>
    </row>
    <row r="2009" ht="12.75">
      <c r="Q2009"/>
    </row>
    <row r="2010" ht="12.75">
      <c r="Q2010"/>
    </row>
    <row r="2011" ht="12.75">
      <c r="Q2011"/>
    </row>
    <row r="2012" ht="12.75">
      <c r="Q2012"/>
    </row>
    <row r="2013" ht="12.75">
      <c r="Q2013"/>
    </row>
    <row r="2014" ht="12.75">
      <c r="Q2014"/>
    </row>
    <row r="2015" ht="12.75">
      <c r="Q2015"/>
    </row>
    <row r="2016" ht="12.75">
      <c r="Q2016"/>
    </row>
    <row r="2017" ht="12.75">
      <c r="Q2017"/>
    </row>
    <row r="2018" ht="12.75">
      <c r="Q2018"/>
    </row>
    <row r="2019" ht="12.75">
      <c r="Q2019"/>
    </row>
    <row r="2020" ht="12.75">
      <c r="Q2020"/>
    </row>
    <row r="2021" ht="12.75">
      <c r="Q2021"/>
    </row>
    <row r="2022" ht="12.75">
      <c r="Q2022"/>
    </row>
    <row r="2023" ht="12.75">
      <c r="Q2023"/>
    </row>
    <row r="2024" ht="12.75">
      <c r="Q2024"/>
    </row>
    <row r="2025" ht="12.75">
      <c r="Q2025"/>
    </row>
    <row r="2026" ht="12.75">
      <c r="Q2026"/>
    </row>
    <row r="2027" ht="12.75">
      <c r="Q2027"/>
    </row>
    <row r="2028" ht="12.75">
      <c r="Q2028"/>
    </row>
    <row r="2029" ht="12.75">
      <c r="Q2029"/>
    </row>
    <row r="2030" ht="12.75">
      <c r="Q2030"/>
    </row>
    <row r="2031" ht="12.75">
      <c r="Q2031"/>
    </row>
    <row r="2032" ht="12.75">
      <c r="Q2032"/>
    </row>
    <row r="2033" ht="12.75">
      <c r="Q2033"/>
    </row>
    <row r="2034" ht="12.75">
      <c r="Q2034"/>
    </row>
    <row r="2035" ht="12.75">
      <c r="Q2035"/>
    </row>
    <row r="2036" ht="12.75">
      <c r="Q2036"/>
    </row>
    <row r="2037" ht="12.75">
      <c r="Q2037"/>
    </row>
    <row r="2038" ht="12.75">
      <c r="Q2038"/>
    </row>
    <row r="2039" ht="12.75">
      <c r="Q2039"/>
    </row>
    <row r="2040" ht="12.75">
      <c r="Q2040"/>
    </row>
    <row r="2041" ht="12.75">
      <c r="Q2041"/>
    </row>
    <row r="2042" ht="12.75">
      <c r="Q2042"/>
    </row>
    <row r="2043" ht="12.75">
      <c r="Q2043"/>
    </row>
    <row r="2044" ht="12.75">
      <c r="Q2044"/>
    </row>
    <row r="2045" ht="12.75">
      <c r="Q2045"/>
    </row>
    <row r="2046" ht="12.75">
      <c r="Q2046"/>
    </row>
    <row r="2047" ht="12.75">
      <c r="Q2047"/>
    </row>
    <row r="2048" ht="12.75">
      <c r="Q2048"/>
    </row>
    <row r="2049" ht="12.75">
      <c r="Q2049"/>
    </row>
    <row r="2050" ht="12.75">
      <c r="Q2050"/>
    </row>
    <row r="2051" ht="12.75">
      <c r="Q2051"/>
    </row>
    <row r="2052" ht="12.75">
      <c r="Q2052"/>
    </row>
    <row r="2053" ht="12.75">
      <c r="Q2053"/>
    </row>
    <row r="2054" ht="12.75">
      <c r="Q2054"/>
    </row>
    <row r="2055" ht="12.75">
      <c r="Q2055"/>
    </row>
    <row r="2056" ht="12.75">
      <c r="Q2056"/>
    </row>
    <row r="2057" ht="12.75">
      <c r="Q2057"/>
    </row>
    <row r="2058" ht="12.75">
      <c r="Q2058"/>
    </row>
    <row r="2059" ht="12.75">
      <c r="Q2059"/>
    </row>
    <row r="2060" ht="12.75">
      <c r="Q2060"/>
    </row>
    <row r="2061" ht="12.75">
      <c r="Q2061"/>
    </row>
    <row r="2062" ht="12.75">
      <c r="Q2062"/>
    </row>
    <row r="2063" ht="12.75">
      <c r="Q2063"/>
    </row>
    <row r="2064" ht="12.75">
      <c r="Q2064"/>
    </row>
    <row r="2065" ht="12.75">
      <c r="Q2065"/>
    </row>
    <row r="2066" ht="12.75">
      <c r="Q2066"/>
    </row>
    <row r="2067" ht="12.75">
      <c r="Q2067"/>
    </row>
    <row r="2068" ht="12.75">
      <c r="Q2068"/>
    </row>
    <row r="2069" ht="12.75">
      <c r="Q2069"/>
    </row>
    <row r="2070" ht="12.75">
      <c r="Q2070"/>
    </row>
    <row r="2071" ht="12.75">
      <c r="Q2071"/>
    </row>
    <row r="2072" ht="12.75">
      <c r="Q2072"/>
    </row>
    <row r="2073" ht="12.75">
      <c r="Q2073"/>
    </row>
    <row r="2074" ht="12.75">
      <c r="Q2074"/>
    </row>
    <row r="2075" ht="12.75">
      <c r="Q2075"/>
    </row>
    <row r="2076" ht="12.75">
      <c r="Q2076"/>
    </row>
    <row r="2077" ht="12.75">
      <c r="Q2077"/>
    </row>
    <row r="2078" ht="12.75">
      <c r="Q2078"/>
    </row>
    <row r="2079" ht="12.75">
      <c r="Q2079"/>
    </row>
    <row r="2080" ht="12.75">
      <c r="Q2080"/>
    </row>
    <row r="2081" ht="12.75">
      <c r="Q2081"/>
    </row>
    <row r="2082" ht="12.75">
      <c r="Q2082"/>
    </row>
    <row r="2083" ht="12.75">
      <c r="Q2083"/>
    </row>
    <row r="2084" ht="12.75">
      <c r="Q2084"/>
    </row>
    <row r="2085" ht="12.75">
      <c r="Q2085"/>
    </row>
    <row r="2086" ht="12.75">
      <c r="Q2086"/>
    </row>
    <row r="2087" ht="12.75">
      <c r="Q2087"/>
    </row>
    <row r="2088" ht="12.75">
      <c r="Q2088"/>
    </row>
    <row r="2089" ht="12.75">
      <c r="Q2089"/>
    </row>
    <row r="2090" ht="12.75">
      <c r="Q2090"/>
    </row>
    <row r="2091" ht="12.75">
      <c r="Q2091"/>
    </row>
    <row r="2092" ht="12.75">
      <c r="Q2092"/>
    </row>
    <row r="2093" ht="12.75">
      <c r="Q2093"/>
    </row>
    <row r="2094" ht="12.75">
      <c r="Q2094"/>
    </row>
    <row r="2095" ht="12.75">
      <c r="Q2095"/>
    </row>
    <row r="2096" ht="12.75">
      <c r="Q2096"/>
    </row>
    <row r="2097" ht="12.75">
      <c r="Q2097"/>
    </row>
    <row r="2098" ht="12.75">
      <c r="Q2098"/>
    </row>
    <row r="2099" ht="12.75">
      <c r="Q2099"/>
    </row>
    <row r="2100" ht="12.75">
      <c r="Q2100"/>
    </row>
    <row r="2101" ht="12.75">
      <c r="Q2101"/>
    </row>
    <row r="2102" ht="12.75">
      <c r="Q2102"/>
    </row>
    <row r="2103" ht="12.75">
      <c r="Q2103"/>
    </row>
    <row r="2104" ht="12.75">
      <c r="Q2104"/>
    </row>
    <row r="2105" ht="12.75">
      <c r="Q2105"/>
    </row>
    <row r="2106" ht="12.75">
      <c r="Q2106"/>
    </row>
    <row r="2107" ht="12.75">
      <c r="Q2107"/>
    </row>
    <row r="2108" ht="12.75">
      <c r="Q2108"/>
    </row>
    <row r="2109" ht="12.75">
      <c r="Q2109"/>
    </row>
    <row r="2110" ht="12.75">
      <c r="Q2110"/>
    </row>
    <row r="2111" ht="12.75">
      <c r="Q2111"/>
    </row>
    <row r="2112" ht="12.75">
      <c r="Q2112"/>
    </row>
    <row r="2113" ht="12.75">
      <c r="Q2113"/>
    </row>
    <row r="2114" ht="12.75">
      <c r="Q2114"/>
    </row>
    <row r="2115" ht="12.75">
      <c r="Q2115"/>
    </row>
    <row r="2116" ht="12.75">
      <c r="Q2116"/>
    </row>
    <row r="2117" ht="12.75">
      <c r="Q2117"/>
    </row>
    <row r="2118" ht="12.75">
      <c r="Q2118"/>
    </row>
    <row r="2119" ht="12.75">
      <c r="Q2119"/>
    </row>
    <row r="2120" ht="12.75">
      <c r="Q2120"/>
    </row>
    <row r="2121" ht="12.75">
      <c r="Q2121"/>
    </row>
    <row r="2122" ht="12.75">
      <c r="Q2122"/>
    </row>
    <row r="2123" ht="12.75">
      <c r="Q2123"/>
    </row>
    <row r="2124" ht="12.75">
      <c r="Q2124"/>
    </row>
    <row r="2125" ht="12.75">
      <c r="Q2125"/>
    </row>
    <row r="2126" ht="12.75">
      <c r="Q2126"/>
    </row>
    <row r="2127" ht="12.75">
      <c r="Q2127"/>
    </row>
    <row r="2128" ht="12.75">
      <c r="Q2128"/>
    </row>
    <row r="2129" ht="12.75">
      <c r="Q2129"/>
    </row>
    <row r="2130" ht="12.75">
      <c r="Q2130"/>
    </row>
    <row r="2131" ht="12.75">
      <c r="Q2131"/>
    </row>
    <row r="2132" ht="12.75">
      <c r="Q2132"/>
    </row>
    <row r="2133" ht="12.75">
      <c r="Q2133"/>
    </row>
    <row r="2134" ht="12.75">
      <c r="Q2134"/>
    </row>
    <row r="2135" ht="12.75">
      <c r="Q2135"/>
    </row>
    <row r="2136" ht="12.75">
      <c r="Q2136"/>
    </row>
    <row r="2137" ht="12.75">
      <c r="Q2137"/>
    </row>
    <row r="2138" ht="12.75">
      <c r="Q2138"/>
    </row>
    <row r="2139" ht="12.75">
      <c r="Q2139"/>
    </row>
    <row r="2140" ht="12.75">
      <c r="Q2140"/>
    </row>
    <row r="2141" ht="12.75">
      <c r="Q2141"/>
    </row>
    <row r="2142" ht="12.75">
      <c r="Q2142"/>
    </row>
    <row r="2143" ht="12.75">
      <c r="Q2143"/>
    </row>
    <row r="2144" ht="12.75">
      <c r="Q2144"/>
    </row>
    <row r="2145" ht="12.75">
      <c r="Q2145"/>
    </row>
    <row r="2146" ht="12.75">
      <c r="Q2146"/>
    </row>
    <row r="2147" ht="12.75">
      <c r="Q2147"/>
    </row>
    <row r="2148" ht="12.75">
      <c r="Q2148"/>
    </row>
    <row r="2149" ht="12.75">
      <c r="Q2149"/>
    </row>
    <row r="2150" ht="12.75">
      <c r="Q2150"/>
    </row>
    <row r="2151" ht="12.75">
      <c r="Q2151"/>
    </row>
    <row r="2152" ht="12.75">
      <c r="Q2152"/>
    </row>
    <row r="2153" ht="12.75">
      <c r="Q2153"/>
    </row>
    <row r="2154" ht="12.75">
      <c r="Q2154"/>
    </row>
    <row r="2155" ht="12.75">
      <c r="Q2155"/>
    </row>
    <row r="2156" ht="12.75">
      <c r="Q2156"/>
    </row>
    <row r="2157" ht="12.75">
      <c r="Q2157"/>
    </row>
    <row r="2158" ht="12.75">
      <c r="Q2158"/>
    </row>
    <row r="2159" ht="12.75">
      <c r="Q2159"/>
    </row>
    <row r="2160" ht="12.75">
      <c r="Q2160"/>
    </row>
    <row r="2161" ht="12.75">
      <c r="Q2161"/>
    </row>
    <row r="2162" ht="12.75">
      <c r="Q2162"/>
    </row>
    <row r="2163" ht="12.75">
      <c r="Q2163"/>
    </row>
    <row r="2164" ht="12.75">
      <c r="Q2164"/>
    </row>
    <row r="2165" ht="12.75">
      <c r="Q2165"/>
    </row>
    <row r="2166" ht="12.75">
      <c r="Q2166"/>
    </row>
    <row r="2167" ht="12.75">
      <c r="Q2167"/>
    </row>
    <row r="2168" ht="12.75">
      <c r="Q2168"/>
    </row>
    <row r="2169" ht="12.75">
      <c r="Q2169"/>
    </row>
    <row r="2170" ht="12.75">
      <c r="Q2170"/>
    </row>
    <row r="2171" ht="12.75">
      <c r="Q2171"/>
    </row>
    <row r="2172" ht="12.75">
      <c r="Q2172"/>
    </row>
    <row r="2173" ht="12.75">
      <c r="Q2173"/>
    </row>
    <row r="2174" ht="12.75">
      <c r="Q2174"/>
    </row>
    <row r="2175" ht="12.75">
      <c r="Q2175"/>
    </row>
    <row r="2176" ht="12.75">
      <c r="Q2176"/>
    </row>
    <row r="2177" ht="12.75">
      <c r="Q2177"/>
    </row>
    <row r="2178" ht="12.75">
      <c r="Q2178"/>
    </row>
    <row r="2179" ht="12.75">
      <c r="Q2179"/>
    </row>
    <row r="2180" ht="12.75">
      <c r="Q2180"/>
    </row>
    <row r="2181" ht="12.75">
      <c r="Q2181"/>
    </row>
    <row r="2182" ht="12.75">
      <c r="Q2182"/>
    </row>
    <row r="2183" ht="12.75">
      <c r="Q2183"/>
    </row>
    <row r="2184" ht="12.75">
      <c r="Q2184"/>
    </row>
    <row r="2185" ht="12.75">
      <c r="Q2185"/>
    </row>
    <row r="2186" ht="12.75">
      <c r="Q2186"/>
    </row>
    <row r="2187" ht="12.75">
      <c r="Q2187"/>
    </row>
    <row r="2188" ht="12.75">
      <c r="Q2188"/>
    </row>
    <row r="2189" ht="12.75">
      <c r="Q2189"/>
    </row>
    <row r="2190" ht="12.75">
      <c r="Q2190"/>
    </row>
    <row r="2191" ht="12.75">
      <c r="Q2191"/>
    </row>
    <row r="2192" ht="12.75">
      <c r="Q2192"/>
    </row>
    <row r="2193" ht="12.75">
      <c r="Q2193"/>
    </row>
    <row r="2194" ht="12.75">
      <c r="Q2194"/>
    </row>
    <row r="2195" ht="12.75">
      <c r="Q2195"/>
    </row>
    <row r="2196" ht="12.75">
      <c r="Q2196"/>
    </row>
    <row r="2197" ht="12.75">
      <c r="Q2197"/>
    </row>
    <row r="2198" ht="12.75">
      <c r="Q2198"/>
    </row>
    <row r="2199" ht="12.75">
      <c r="Q2199"/>
    </row>
    <row r="2200" ht="12.75">
      <c r="Q2200"/>
    </row>
    <row r="2201" ht="12.75">
      <c r="Q2201"/>
    </row>
    <row r="2202" ht="12.75">
      <c r="Q2202"/>
    </row>
    <row r="2203" ht="12.75">
      <c r="Q2203"/>
    </row>
    <row r="2204" ht="12.75">
      <c r="Q2204"/>
    </row>
    <row r="2205" ht="12.75">
      <c r="Q2205"/>
    </row>
    <row r="2206" ht="12.75">
      <c r="Q2206"/>
    </row>
    <row r="2207" ht="12.75">
      <c r="Q2207"/>
    </row>
    <row r="2208" ht="12.75">
      <c r="Q2208"/>
    </row>
    <row r="2209" ht="12.75">
      <c r="Q2209"/>
    </row>
    <row r="2210" ht="12.75">
      <c r="Q2210"/>
    </row>
    <row r="2211" ht="12.75">
      <c r="Q2211"/>
    </row>
    <row r="2212" ht="12.75">
      <c r="Q2212"/>
    </row>
    <row r="2213" ht="12.75">
      <c r="Q2213"/>
    </row>
    <row r="2214" ht="12.75">
      <c r="Q2214"/>
    </row>
    <row r="2215" ht="12.75">
      <c r="Q2215"/>
    </row>
    <row r="2216" ht="12.75">
      <c r="Q2216"/>
    </row>
    <row r="2217" ht="12.75">
      <c r="Q2217"/>
    </row>
    <row r="2218" ht="12.75">
      <c r="Q2218"/>
    </row>
    <row r="2219" ht="12.75">
      <c r="Q2219"/>
    </row>
    <row r="2220" ht="12.75">
      <c r="Q2220"/>
    </row>
    <row r="2221" ht="12.75">
      <c r="Q2221"/>
    </row>
    <row r="2222" ht="12.75">
      <c r="Q2222"/>
    </row>
    <row r="2223" ht="12.75">
      <c r="Q2223"/>
    </row>
    <row r="2224" ht="12.75">
      <c r="Q2224"/>
    </row>
    <row r="2225" ht="12.75">
      <c r="Q2225"/>
    </row>
    <row r="2226" ht="12.75">
      <c r="Q2226"/>
    </row>
    <row r="2227" ht="12.75">
      <c r="Q2227"/>
    </row>
    <row r="2228" ht="12.75">
      <c r="Q2228"/>
    </row>
    <row r="2229" ht="12.75">
      <c r="Q2229"/>
    </row>
    <row r="2230" ht="12.75">
      <c r="Q2230"/>
    </row>
    <row r="2231" ht="12.75">
      <c r="Q2231"/>
    </row>
    <row r="2232" ht="12.75">
      <c r="Q2232"/>
    </row>
    <row r="2233" ht="12.75">
      <c r="Q2233"/>
    </row>
    <row r="2234" ht="12.75">
      <c r="Q2234"/>
    </row>
    <row r="2235" ht="12.75">
      <c r="Q2235"/>
    </row>
    <row r="2236" ht="12.75">
      <c r="Q2236"/>
    </row>
    <row r="2237" ht="12.75">
      <c r="Q2237"/>
    </row>
    <row r="2238" ht="12.75">
      <c r="Q2238"/>
    </row>
    <row r="2239" ht="12.75">
      <c r="Q2239"/>
    </row>
    <row r="2240" ht="12.75">
      <c r="Q2240"/>
    </row>
    <row r="2241" ht="12.75">
      <c r="Q2241"/>
    </row>
    <row r="2242" ht="12.75">
      <c r="Q2242"/>
    </row>
    <row r="2243" ht="12.75">
      <c r="Q2243"/>
    </row>
    <row r="2244" ht="12.75">
      <c r="Q2244"/>
    </row>
    <row r="2245" ht="12.75">
      <c r="Q2245"/>
    </row>
    <row r="2246" ht="12.75">
      <c r="Q2246"/>
    </row>
    <row r="2247" ht="12.75">
      <c r="Q2247"/>
    </row>
    <row r="2248" ht="12.75">
      <c r="Q2248"/>
    </row>
    <row r="2249" ht="12.75">
      <c r="Q2249"/>
    </row>
    <row r="2250" ht="12.75">
      <c r="Q2250"/>
    </row>
    <row r="2251" ht="12.75">
      <c r="Q2251"/>
    </row>
    <row r="2252" ht="12.75">
      <c r="Q2252"/>
    </row>
    <row r="2253" ht="12.75">
      <c r="Q2253"/>
    </row>
    <row r="2254" ht="12.75">
      <c r="Q2254"/>
    </row>
    <row r="2255" ht="12.75">
      <c r="Q2255"/>
    </row>
    <row r="2256" ht="12.75">
      <c r="Q2256"/>
    </row>
    <row r="2257" ht="12.75">
      <c r="Q2257"/>
    </row>
    <row r="2258" ht="12.75">
      <c r="Q2258"/>
    </row>
    <row r="2259" ht="12.75">
      <c r="Q2259"/>
    </row>
    <row r="2260" ht="12.75">
      <c r="Q2260"/>
    </row>
    <row r="2261" ht="12.75">
      <c r="Q2261"/>
    </row>
    <row r="2262" ht="12.75">
      <c r="Q2262"/>
    </row>
    <row r="2263" ht="12.75">
      <c r="Q2263"/>
    </row>
    <row r="2264" ht="12.75">
      <c r="Q2264"/>
    </row>
    <row r="2265" ht="12.75">
      <c r="Q2265"/>
    </row>
    <row r="2266" ht="12.75">
      <c r="Q2266"/>
    </row>
    <row r="2267" ht="12.75">
      <c r="Q2267"/>
    </row>
    <row r="2268" ht="12.75">
      <c r="Q2268"/>
    </row>
    <row r="2269" ht="12.75">
      <c r="Q2269"/>
    </row>
    <row r="2270" ht="12.75">
      <c r="Q2270"/>
    </row>
    <row r="2271" ht="12.75">
      <c r="Q2271"/>
    </row>
    <row r="2272" ht="12.75">
      <c r="Q2272"/>
    </row>
    <row r="2273" ht="12.75">
      <c r="Q2273"/>
    </row>
    <row r="2274" ht="12.75">
      <c r="Q2274"/>
    </row>
    <row r="2275" ht="12.75">
      <c r="Q2275"/>
    </row>
    <row r="2276" ht="12.75">
      <c r="Q2276"/>
    </row>
    <row r="2277" ht="12.75">
      <c r="Q2277"/>
    </row>
    <row r="2278" ht="12.75">
      <c r="Q2278"/>
    </row>
    <row r="2279" ht="12.75">
      <c r="Q2279"/>
    </row>
    <row r="2280" ht="12.75">
      <c r="Q2280"/>
    </row>
    <row r="2281" ht="12.75">
      <c r="Q2281"/>
    </row>
    <row r="2282" ht="12.75">
      <c r="Q2282"/>
    </row>
    <row r="2283" ht="12.75">
      <c r="Q2283"/>
    </row>
    <row r="2284" ht="12.75">
      <c r="Q2284"/>
    </row>
    <row r="2285" ht="12.75">
      <c r="Q2285"/>
    </row>
    <row r="2286" ht="12.75">
      <c r="Q2286"/>
    </row>
    <row r="2287" ht="12.75">
      <c r="Q2287"/>
    </row>
    <row r="2288" ht="12.75">
      <c r="Q2288"/>
    </row>
    <row r="2289" ht="12.75">
      <c r="Q2289"/>
    </row>
    <row r="2290" ht="12.75">
      <c r="Q2290"/>
    </row>
    <row r="2291" ht="12.75">
      <c r="Q2291"/>
    </row>
    <row r="2292" ht="12.75">
      <c r="Q2292"/>
    </row>
    <row r="2293" ht="12.75">
      <c r="Q2293"/>
    </row>
    <row r="2294" ht="12.75">
      <c r="Q2294"/>
    </row>
    <row r="2295" ht="12.75">
      <c r="Q2295"/>
    </row>
    <row r="2296" ht="12.75">
      <c r="Q2296"/>
    </row>
    <row r="2297" ht="12.75">
      <c r="Q2297"/>
    </row>
    <row r="2298" ht="12.75">
      <c r="Q2298"/>
    </row>
    <row r="2299" ht="12.75">
      <c r="Q2299"/>
    </row>
    <row r="2300" ht="12.75">
      <c r="Q2300"/>
    </row>
    <row r="2301" ht="12.75">
      <c r="Q2301"/>
    </row>
    <row r="2302" ht="12.75">
      <c r="Q2302"/>
    </row>
    <row r="2303" ht="12.75">
      <c r="Q2303"/>
    </row>
    <row r="2304" ht="12.75">
      <c r="Q2304"/>
    </row>
    <row r="2305" ht="12.75">
      <c r="Q2305"/>
    </row>
    <row r="2306" ht="12.75">
      <c r="Q2306"/>
    </row>
    <row r="2307" ht="12.75">
      <c r="Q2307"/>
    </row>
    <row r="2308" ht="12.75">
      <c r="Q2308"/>
    </row>
    <row r="2309" ht="12.75">
      <c r="Q2309"/>
    </row>
    <row r="2310" ht="12.75">
      <c r="Q2310"/>
    </row>
    <row r="2311" ht="12.75">
      <c r="Q2311"/>
    </row>
    <row r="2312" ht="12.75">
      <c r="Q2312"/>
    </row>
    <row r="2313" ht="12.75">
      <c r="Q2313"/>
    </row>
    <row r="2314" ht="12.75">
      <c r="Q2314"/>
    </row>
    <row r="2315" ht="12.75">
      <c r="Q2315"/>
    </row>
    <row r="2316" ht="12.75">
      <c r="Q2316"/>
    </row>
    <row r="2317" ht="12.75">
      <c r="Q2317"/>
    </row>
    <row r="2318" ht="12.75">
      <c r="Q2318"/>
    </row>
    <row r="2319" ht="12.75">
      <c r="Q2319"/>
    </row>
    <row r="2320" ht="12.75">
      <c r="Q2320"/>
    </row>
    <row r="2321" ht="12.75">
      <c r="Q2321"/>
    </row>
    <row r="2322" ht="12.75">
      <c r="Q2322"/>
    </row>
    <row r="2323" ht="12.75">
      <c r="Q2323"/>
    </row>
    <row r="2324" ht="12.75">
      <c r="Q2324"/>
    </row>
    <row r="2325" ht="12.75">
      <c r="Q2325"/>
    </row>
    <row r="2326" ht="12.75">
      <c r="Q2326"/>
    </row>
    <row r="2327" ht="12.75">
      <c r="Q2327"/>
    </row>
    <row r="2328" ht="12.75">
      <c r="Q2328"/>
    </row>
    <row r="2329" ht="12.75">
      <c r="Q2329"/>
    </row>
    <row r="2330" ht="12.75">
      <c r="Q2330"/>
    </row>
    <row r="2331" ht="12.75">
      <c r="Q2331"/>
    </row>
    <row r="2332" ht="12.75">
      <c r="Q2332"/>
    </row>
    <row r="2333" ht="12.75">
      <c r="Q2333"/>
    </row>
    <row r="2334" ht="12.75">
      <c r="Q2334"/>
    </row>
    <row r="2335" ht="12.75">
      <c r="Q2335"/>
    </row>
    <row r="2336" ht="12.75">
      <c r="Q2336"/>
    </row>
    <row r="2337" ht="12.75">
      <c r="Q2337"/>
    </row>
    <row r="2338" ht="12.75">
      <c r="Q2338"/>
    </row>
    <row r="2339" ht="12.75">
      <c r="Q2339"/>
    </row>
    <row r="2340" ht="12.75">
      <c r="Q2340"/>
    </row>
    <row r="2341" ht="12.75">
      <c r="Q2341"/>
    </row>
    <row r="2342" ht="12.75">
      <c r="Q2342"/>
    </row>
    <row r="2343" ht="12.75">
      <c r="Q2343"/>
    </row>
    <row r="2344" ht="12.75">
      <c r="Q2344"/>
    </row>
    <row r="2345" ht="12.75">
      <c r="Q2345"/>
    </row>
    <row r="2346" ht="12.75">
      <c r="Q2346"/>
    </row>
    <row r="2347" ht="12.75">
      <c r="Q2347"/>
    </row>
    <row r="2348" ht="12.75">
      <c r="Q2348"/>
    </row>
    <row r="2349" ht="12.75">
      <c r="Q2349"/>
    </row>
    <row r="2350" ht="12.75">
      <c r="Q2350"/>
    </row>
    <row r="2351" ht="12.75">
      <c r="Q2351"/>
    </row>
    <row r="2352" ht="12.75">
      <c r="Q2352"/>
    </row>
    <row r="2353" ht="12.75">
      <c r="Q2353"/>
    </row>
    <row r="2354" ht="12.75">
      <c r="Q2354"/>
    </row>
    <row r="2355" ht="12.75">
      <c r="Q2355"/>
    </row>
    <row r="2356" ht="12.75">
      <c r="Q2356"/>
    </row>
    <row r="2357" ht="12.75">
      <c r="Q2357"/>
    </row>
    <row r="2358" ht="12.75">
      <c r="Q2358"/>
    </row>
    <row r="2359" ht="12.75">
      <c r="Q2359"/>
    </row>
    <row r="2360" ht="12.75">
      <c r="Q2360"/>
    </row>
    <row r="2361" ht="12.75">
      <c r="Q2361"/>
    </row>
    <row r="2362" ht="12.75">
      <c r="Q2362"/>
    </row>
    <row r="2363" ht="12.75">
      <c r="Q2363"/>
    </row>
    <row r="2364" ht="12.75">
      <c r="Q2364"/>
    </row>
    <row r="2365" ht="12.75">
      <c r="Q2365"/>
    </row>
    <row r="2366" ht="12.75">
      <c r="Q2366"/>
    </row>
    <row r="2367" ht="12.75">
      <c r="Q2367"/>
    </row>
    <row r="2368" ht="12.75">
      <c r="Q2368"/>
    </row>
    <row r="2369" ht="12.75">
      <c r="Q2369"/>
    </row>
    <row r="2370" ht="12.75">
      <c r="Q2370"/>
    </row>
    <row r="2371" ht="12.75">
      <c r="Q2371"/>
    </row>
    <row r="2372" ht="12.75">
      <c r="Q2372"/>
    </row>
    <row r="2373" ht="12.75">
      <c r="Q2373"/>
    </row>
    <row r="2374" ht="12.75">
      <c r="Q2374"/>
    </row>
    <row r="2375" ht="12.75">
      <c r="Q2375"/>
    </row>
    <row r="2376" ht="12.75">
      <c r="Q2376"/>
    </row>
    <row r="2377" ht="12.75">
      <c r="Q2377"/>
    </row>
    <row r="2378" ht="12.75">
      <c r="Q2378"/>
    </row>
    <row r="2379" ht="12.75">
      <c r="Q2379"/>
    </row>
    <row r="2380" ht="12.75">
      <c r="Q2380"/>
    </row>
    <row r="2381" ht="12.75">
      <c r="Q2381"/>
    </row>
    <row r="2382" ht="12.75">
      <c r="Q2382"/>
    </row>
    <row r="2383" ht="12.75">
      <c r="Q2383"/>
    </row>
    <row r="2384" ht="12.75">
      <c r="Q2384"/>
    </row>
    <row r="2385" ht="12.75">
      <c r="Q2385"/>
    </row>
    <row r="2386" ht="12.75">
      <c r="Q2386"/>
    </row>
    <row r="2387" ht="12.75">
      <c r="Q2387"/>
    </row>
    <row r="2388" ht="12.75">
      <c r="Q2388"/>
    </row>
    <row r="2389" ht="12.75">
      <c r="Q2389"/>
    </row>
    <row r="2390" ht="12.75">
      <c r="Q2390"/>
    </row>
    <row r="2391" ht="12.75">
      <c r="Q2391"/>
    </row>
    <row r="2392" ht="12.75">
      <c r="Q2392"/>
    </row>
    <row r="2393" ht="12.75">
      <c r="Q2393"/>
    </row>
    <row r="2394" ht="12.75">
      <c r="Q2394"/>
    </row>
    <row r="2395" ht="12.75">
      <c r="Q2395"/>
    </row>
    <row r="2396" ht="12.75">
      <c r="Q2396"/>
    </row>
    <row r="2397" ht="12.75">
      <c r="Q2397"/>
    </row>
    <row r="2398" ht="12.75">
      <c r="Q2398"/>
    </row>
    <row r="2399" ht="12.75">
      <c r="Q2399"/>
    </row>
    <row r="2400" ht="12.75">
      <c r="Q2400"/>
    </row>
    <row r="2401" ht="12.75">
      <c r="Q2401"/>
    </row>
    <row r="2402" ht="12.75">
      <c r="Q2402"/>
    </row>
    <row r="2403" ht="12.75">
      <c r="Q2403"/>
    </row>
    <row r="2404" ht="12.75">
      <c r="Q2404"/>
    </row>
    <row r="2405" ht="12.75">
      <c r="Q2405"/>
    </row>
    <row r="2406" ht="12.75">
      <c r="Q2406"/>
    </row>
    <row r="2407" ht="12.75">
      <c r="Q2407"/>
    </row>
    <row r="2408" ht="12.75">
      <c r="Q2408"/>
    </row>
    <row r="2409" ht="12.75">
      <c r="Q2409"/>
    </row>
    <row r="2410" ht="12.75">
      <c r="Q2410"/>
    </row>
    <row r="2411" ht="12.75">
      <c r="Q2411"/>
    </row>
    <row r="2412" ht="12.75">
      <c r="Q2412"/>
    </row>
    <row r="2413" ht="12.75">
      <c r="Q2413"/>
    </row>
    <row r="2414" ht="12.75">
      <c r="Q2414"/>
    </row>
    <row r="2415" ht="12.75">
      <c r="Q2415"/>
    </row>
    <row r="2416" ht="12.75">
      <c r="Q2416"/>
    </row>
    <row r="2417" ht="12.75">
      <c r="Q2417"/>
    </row>
    <row r="2418" ht="12.75">
      <c r="Q2418"/>
    </row>
    <row r="2419" ht="12.75">
      <c r="Q2419"/>
    </row>
    <row r="2420" ht="12.75">
      <c r="Q2420"/>
    </row>
    <row r="2421" ht="12.75">
      <c r="Q2421"/>
    </row>
    <row r="2422" ht="12.75">
      <c r="Q2422"/>
    </row>
    <row r="2423" ht="12.75">
      <c r="Q2423"/>
    </row>
    <row r="2424" ht="12.75">
      <c r="Q2424"/>
    </row>
    <row r="2425" ht="12.75">
      <c r="Q2425"/>
    </row>
    <row r="2426" ht="12.75">
      <c r="Q2426"/>
    </row>
    <row r="2427" ht="12.75">
      <c r="Q2427"/>
    </row>
    <row r="2428" ht="12.75">
      <c r="Q2428"/>
    </row>
    <row r="2429" ht="12.75">
      <c r="Q2429"/>
    </row>
    <row r="2430" ht="12.75">
      <c r="Q2430"/>
    </row>
    <row r="2431" ht="12.75">
      <c r="Q2431"/>
    </row>
    <row r="2432" ht="12.75">
      <c r="Q2432"/>
    </row>
    <row r="2433" ht="12.75">
      <c r="Q2433"/>
    </row>
    <row r="2434" ht="12.75">
      <c r="Q2434"/>
    </row>
    <row r="2435" ht="12.75">
      <c r="Q2435"/>
    </row>
    <row r="2436" ht="12.75">
      <c r="Q2436"/>
    </row>
    <row r="2437" ht="12.75">
      <c r="Q2437"/>
    </row>
    <row r="2438" ht="12.75">
      <c r="Q2438"/>
    </row>
    <row r="2439" ht="12.75">
      <c r="Q2439"/>
    </row>
    <row r="2440" ht="12.75">
      <c r="Q2440"/>
    </row>
    <row r="2441" ht="12.75">
      <c r="Q2441"/>
    </row>
    <row r="2442" ht="12.75">
      <c r="Q2442"/>
    </row>
    <row r="2443" ht="12.75">
      <c r="Q2443"/>
    </row>
    <row r="2444" ht="12.75">
      <c r="Q2444"/>
    </row>
    <row r="2445" ht="12.75">
      <c r="Q2445"/>
    </row>
    <row r="2446" ht="12.75">
      <c r="Q2446"/>
    </row>
    <row r="2447" ht="12.75">
      <c r="Q2447"/>
    </row>
    <row r="2448" ht="12.75">
      <c r="Q2448"/>
    </row>
    <row r="2449" ht="12.75">
      <c r="Q2449"/>
    </row>
    <row r="2450" ht="12.75">
      <c r="Q2450"/>
    </row>
    <row r="2451" ht="12.75">
      <c r="Q2451"/>
    </row>
    <row r="2452" ht="12.75">
      <c r="Q2452"/>
    </row>
    <row r="2453" ht="12.75">
      <c r="Q2453"/>
    </row>
    <row r="2454" ht="12.75">
      <c r="Q2454"/>
    </row>
    <row r="2455" ht="12.75">
      <c r="Q2455"/>
    </row>
    <row r="2456" ht="12.75">
      <c r="Q2456"/>
    </row>
    <row r="2457" ht="12.75">
      <c r="Q2457"/>
    </row>
    <row r="2458" ht="12.75">
      <c r="Q2458"/>
    </row>
    <row r="2459" ht="12.75">
      <c r="Q2459"/>
    </row>
    <row r="2460" ht="12.75">
      <c r="Q2460"/>
    </row>
    <row r="2461" ht="12.75">
      <c r="Q2461"/>
    </row>
    <row r="2462" ht="12.75">
      <c r="Q2462"/>
    </row>
    <row r="2463" ht="12.75">
      <c r="Q2463"/>
    </row>
    <row r="2464" ht="12.75">
      <c r="Q2464"/>
    </row>
    <row r="2465" ht="12.75">
      <c r="Q2465"/>
    </row>
    <row r="2466" ht="12.75">
      <c r="Q2466"/>
    </row>
    <row r="2467" ht="12.75">
      <c r="Q2467"/>
    </row>
    <row r="2468" ht="12.75">
      <c r="Q2468"/>
    </row>
    <row r="2469" ht="12.75">
      <c r="Q2469"/>
    </row>
    <row r="2470" ht="12.75">
      <c r="Q2470"/>
    </row>
    <row r="2471" ht="12.75">
      <c r="Q2471"/>
    </row>
    <row r="2472" ht="12.75">
      <c r="Q2472"/>
    </row>
    <row r="2473" ht="12.75">
      <c r="Q2473"/>
    </row>
    <row r="2474" ht="12.75">
      <c r="Q2474"/>
    </row>
    <row r="2475" ht="12.75">
      <c r="Q2475"/>
    </row>
    <row r="2476" ht="12.75">
      <c r="Q2476"/>
    </row>
    <row r="2477" ht="12.75">
      <c r="Q2477"/>
    </row>
    <row r="2478" ht="12.75">
      <c r="Q2478"/>
    </row>
    <row r="2479" ht="12.75">
      <c r="Q2479"/>
    </row>
    <row r="2480" ht="12.75">
      <c r="Q2480"/>
    </row>
    <row r="2481" ht="12.75">
      <c r="Q2481"/>
    </row>
    <row r="2482" ht="12.75">
      <c r="Q2482"/>
    </row>
    <row r="2483" ht="12.75">
      <c r="Q2483"/>
    </row>
    <row r="2484" ht="12.75">
      <c r="Q2484"/>
    </row>
    <row r="2485" ht="12.75">
      <c r="Q2485"/>
    </row>
    <row r="2486" ht="12.75">
      <c r="Q2486"/>
    </row>
    <row r="2487" ht="12.75">
      <c r="Q2487"/>
    </row>
    <row r="2488" ht="12.75">
      <c r="Q2488"/>
    </row>
    <row r="2489" ht="12.75">
      <c r="Q2489"/>
    </row>
    <row r="2490" ht="12.75">
      <c r="Q2490"/>
    </row>
    <row r="2491" ht="12.75">
      <c r="Q2491"/>
    </row>
    <row r="2492" ht="12.75">
      <c r="Q2492"/>
    </row>
    <row r="2493" ht="12.75">
      <c r="Q2493"/>
    </row>
    <row r="2494" ht="12.75">
      <c r="Q2494"/>
    </row>
    <row r="2495" ht="12.75">
      <c r="Q2495"/>
    </row>
    <row r="2496" ht="12.75">
      <c r="Q2496"/>
    </row>
    <row r="2497" ht="12.75">
      <c r="Q2497"/>
    </row>
    <row r="2498" ht="12.75">
      <c r="Q2498"/>
    </row>
    <row r="2499" ht="12.75">
      <c r="Q2499"/>
    </row>
    <row r="2500" ht="12.75">
      <c r="Q2500"/>
    </row>
    <row r="2501" ht="12.75">
      <c r="Q2501"/>
    </row>
    <row r="2502" ht="12.75">
      <c r="Q2502"/>
    </row>
    <row r="2503" ht="12.75">
      <c r="Q2503"/>
    </row>
    <row r="2504" ht="12.75">
      <c r="Q2504"/>
    </row>
    <row r="2505" ht="12.75">
      <c r="Q2505"/>
    </row>
    <row r="2506" ht="12.75">
      <c r="Q2506"/>
    </row>
    <row r="2507" ht="12.75">
      <c r="Q2507"/>
    </row>
    <row r="2508" ht="12.75">
      <c r="Q2508"/>
    </row>
    <row r="2509" ht="12.75">
      <c r="Q2509"/>
    </row>
    <row r="2510" ht="12.75">
      <c r="Q2510"/>
    </row>
    <row r="2511" ht="12.75">
      <c r="Q2511"/>
    </row>
    <row r="2512" ht="12.75">
      <c r="Q2512"/>
    </row>
    <row r="2513" ht="12.75">
      <c r="Q2513"/>
    </row>
    <row r="2514" ht="12.75">
      <c r="Q2514"/>
    </row>
    <row r="2515" ht="12.75">
      <c r="Q2515"/>
    </row>
    <row r="2516" ht="12.75">
      <c r="Q2516"/>
    </row>
    <row r="2517" ht="12.75">
      <c r="Q2517"/>
    </row>
    <row r="2518" ht="12.75">
      <c r="Q2518"/>
    </row>
    <row r="2519" ht="12.75">
      <c r="Q2519"/>
    </row>
    <row r="2520" ht="12.75">
      <c r="Q2520"/>
    </row>
    <row r="2521" ht="12.75">
      <c r="Q2521"/>
    </row>
    <row r="2522" ht="12.75">
      <c r="Q2522"/>
    </row>
    <row r="2523" ht="12.75">
      <c r="Q2523"/>
    </row>
    <row r="2524" ht="12.75">
      <c r="Q2524"/>
    </row>
    <row r="2525" ht="12.75">
      <c r="Q2525"/>
    </row>
    <row r="2526" ht="12.75">
      <c r="Q2526"/>
    </row>
    <row r="2527" ht="12.75">
      <c r="Q2527"/>
    </row>
    <row r="2528" ht="12.75">
      <c r="Q2528"/>
    </row>
    <row r="2529" ht="12.75">
      <c r="Q2529"/>
    </row>
    <row r="2530" ht="12.75">
      <c r="Q2530"/>
    </row>
    <row r="2531" ht="12.75">
      <c r="Q2531"/>
    </row>
    <row r="2532" ht="12.75">
      <c r="Q2532"/>
    </row>
    <row r="2533" ht="12.75">
      <c r="Q2533"/>
    </row>
    <row r="2534" ht="12.75">
      <c r="Q2534"/>
    </row>
    <row r="2535" ht="12.75">
      <c r="Q2535"/>
    </row>
    <row r="2536" ht="12.75">
      <c r="Q2536"/>
    </row>
    <row r="2537" ht="12.75">
      <c r="Q2537"/>
    </row>
    <row r="2538" ht="12.75">
      <c r="Q2538"/>
    </row>
    <row r="2539" ht="12.75">
      <c r="Q2539"/>
    </row>
    <row r="2540" ht="12.75">
      <c r="Q2540"/>
    </row>
    <row r="2541" ht="12.75">
      <c r="Q2541"/>
    </row>
    <row r="2542" ht="12.75">
      <c r="Q2542"/>
    </row>
    <row r="2543" ht="12.75">
      <c r="Q2543"/>
    </row>
    <row r="2544" ht="12.75">
      <c r="Q2544"/>
    </row>
    <row r="2545" ht="12.75">
      <c r="Q2545"/>
    </row>
    <row r="2546" ht="12.75">
      <c r="Q2546"/>
    </row>
    <row r="2547" ht="12.75">
      <c r="Q2547"/>
    </row>
    <row r="2548" ht="12.75">
      <c r="Q2548"/>
    </row>
    <row r="2549" ht="12.75">
      <c r="Q2549"/>
    </row>
    <row r="2550" ht="12.75">
      <c r="Q2550"/>
    </row>
    <row r="2551" ht="12.75">
      <c r="Q2551"/>
    </row>
    <row r="2552" ht="12.75">
      <c r="Q2552"/>
    </row>
    <row r="2553" ht="12.75">
      <c r="Q2553"/>
    </row>
    <row r="2554" ht="12.75">
      <c r="Q2554"/>
    </row>
    <row r="2555" ht="12.75">
      <c r="Q2555"/>
    </row>
    <row r="2556" ht="12.75">
      <c r="Q2556"/>
    </row>
    <row r="2557" ht="12.75">
      <c r="Q2557"/>
    </row>
    <row r="2558" ht="12.75">
      <c r="Q2558"/>
    </row>
    <row r="2559" ht="12.75">
      <c r="Q2559"/>
    </row>
    <row r="2560" ht="12.75">
      <c r="Q2560"/>
    </row>
    <row r="2561" ht="12.75">
      <c r="Q2561"/>
    </row>
    <row r="2562" ht="12.75">
      <c r="Q2562"/>
    </row>
    <row r="2563" ht="12.75">
      <c r="Q2563"/>
    </row>
    <row r="2564" ht="12.75">
      <c r="Q2564"/>
    </row>
    <row r="2565" ht="12.75">
      <c r="Q2565"/>
    </row>
    <row r="2566" ht="12.75">
      <c r="Q2566"/>
    </row>
    <row r="2567" ht="12.75">
      <c r="Q2567"/>
    </row>
    <row r="2568" ht="12.75">
      <c r="Q2568"/>
    </row>
    <row r="2569" ht="12.75">
      <c r="Q2569"/>
    </row>
    <row r="2570" ht="12.75">
      <c r="Q2570"/>
    </row>
    <row r="2571" ht="12.75">
      <c r="Q2571"/>
    </row>
    <row r="2572" ht="12.75">
      <c r="Q2572"/>
    </row>
    <row r="2573" ht="12.75">
      <c r="Q2573"/>
    </row>
    <row r="2574" ht="12.75">
      <c r="Q2574"/>
    </row>
    <row r="2575" ht="12.75">
      <c r="Q2575"/>
    </row>
    <row r="2576" ht="12.75">
      <c r="Q2576"/>
    </row>
    <row r="2577" ht="12.75">
      <c r="Q2577"/>
    </row>
    <row r="2578" ht="12.75">
      <c r="Q2578"/>
    </row>
    <row r="2579" ht="12.75">
      <c r="Q2579"/>
    </row>
    <row r="2580" ht="12.75">
      <c r="Q2580"/>
    </row>
    <row r="2581" ht="12.75">
      <c r="Q2581"/>
    </row>
    <row r="2582" ht="12.75">
      <c r="Q2582"/>
    </row>
    <row r="2583" ht="12.75">
      <c r="Q2583"/>
    </row>
    <row r="2584" ht="12.75">
      <c r="Q2584"/>
    </row>
    <row r="2585" ht="12.75">
      <c r="Q2585"/>
    </row>
    <row r="2586" ht="12.75">
      <c r="Q2586"/>
    </row>
    <row r="2587" ht="12.75">
      <c r="Q2587"/>
    </row>
    <row r="2588" ht="12.75">
      <c r="Q2588"/>
    </row>
    <row r="2589" ht="12.75">
      <c r="Q2589"/>
    </row>
    <row r="2590" ht="12.75">
      <c r="Q2590"/>
    </row>
    <row r="2591" ht="12.75">
      <c r="Q2591"/>
    </row>
    <row r="2592" ht="12.75">
      <c r="Q2592"/>
    </row>
    <row r="2593" ht="12.75">
      <c r="Q2593"/>
    </row>
    <row r="2594" ht="12.75">
      <c r="Q2594"/>
    </row>
    <row r="2595" ht="12.75">
      <c r="Q2595"/>
    </row>
    <row r="2596" ht="12.75">
      <c r="Q2596"/>
    </row>
    <row r="2597" ht="12.75">
      <c r="Q2597"/>
    </row>
    <row r="2598" ht="12.75">
      <c r="Q2598"/>
    </row>
    <row r="2599" ht="12.75">
      <c r="Q2599"/>
    </row>
    <row r="2600" ht="12.75">
      <c r="Q2600"/>
    </row>
    <row r="2601" ht="12.75">
      <c r="Q2601"/>
    </row>
    <row r="2602" ht="12.75">
      <c r="Q2602"/>
    </row>
    <row r="2603" ht="12.75">
      <c r="Q2603"/>
    </row>
    <row r="2604" ht="12.75">
      <c r="Q2604"/>
    </row>
    <row r="2605" ht="12.75">
      <c r="Q2605"/>
    </row>
    <row r="2606" ht="12.75">
      <c r="Q2606"/>
    </row>
    <row r="2607" ht="12.75">
      <c r="Q2607"/>
    </row>
    <row r="2608" ht="12.75">
      <c r="Q2608"/>
    </row>
    <row r="2609" ht="12.75">
      <c r="Q2609"/>
    </row>
    <row r="2610" ht="12.75">
      <c r="Q2610"/>
    </row>
    <row r="2611" ht="12.75">
      <c r="Q2611"/>
    </row>
    <row r="2612" ht="12.75">
      <c r="Q2612"/>
    </row>
    <row r="2613" ht="12.75">
      <c r="Q2613"/>
    </row>
    <row r="2614" ht="12.75">
      <c r="Q2614"/>
    </row>
    <row r="2615" ht="12.75">
      <c r="Q2615"/>
    </row>
    <row r="2616" ht="12.75">
      <c r="Q2616"/>
    </row>
    <row r="2617" ht="12.75">
      <c r="Q2617"/>
    </row>
    <row r="2618" ht="12.75">
      <c r="Q2618"/>
    </row>
    <row r="2619" ht="12.75">
      <c r="Q2619"/>
    </row>
    <row r="2620" ht="12.75">
      <c r="Q2620"/>
    </row>
    <row r="2621" ht="12.75">
      <c r="Q2621"/>
    </row>
    <row r="2622" ht="12.75">
      <c r="Q2622"/>
    </row>
    <row r="2623" ht="12.75">
      <c r="Q2623"/>
    </row>
    <row r="2624" ht="12.75">
      <c r="Q2624"/>
    </row>
    <row r="2625" ht="12.75">
      <c r="Q2625"/>
    </row>
    <row r="2626" ht="12.75">
      <c r="Q2626"/>
    </row>
    <row r="2627" ht="12.75">
      <c r="Q2627"/>
    </row>
    <row r="2628" ht="12.75">
      <c r="Q2628"/>
    </row>
    <row r="2629" ht="12.75">
      <c r="Q2629"/>
    </row>
    <row r="2630" ht="12.75">
      <c r="Q2630"/>
    </row>
    <row r="2631" ht="12.75">
      <c r="Q2631"/>
    </row>
    <row r="2632" ht="12.75">
      <c r="Q2632"/>
    </row>
    <row r="2633" ht="12.75">
      <c r="Q2633"/>
    </row>
    <row r="2634" ht="12.75">
      <c r="Q2634"/>
    </row>
    <row r="2635" ht="12.75">
      <c r="Q2635"/>
    </row>
    <row r="2636" ht="12.75">
      <c r="Q2636"/>
    </row>
    <row r="2637" ht="12.75">
      <c r="Q2637"/>
    </row>
    <row r="2638" ht="12.75">
      <c r="Q2638"/>
    </row>
    <row r="2639" ht="12.75">
      <c r="Q2639"/>
    </row>
    <row r="2640" ht="12.75">
      <c r="Q2640"/>
    </row>
    <row r="2641" ht="12.75">
      <c r="Q2641"/>
    </row>
    <row r="2642" ht="12.75">
      <c r="Q2642"/>
    </row>
    <row r="2643" ht="12.75">
      <c r="Q2643"/>
    </row>
    <row r="2644" ht="12.75">
      <c r="Q2644"/>
    </row>
    <row r="2645" ht="12.75">
      <c r="Q2645"/>
    </row>
    <row r="2646" ht="12.75">
      <c r="Q2646"/>
    </row>
    <row r="2647" ht="12.75">
      <c r="Q2647"/>
    </row>
    <row r="2648" ht="12.75">
      <c r="Q2648"/>
    </row>
    <row r="2649" ht="12.75">
      <c r="Q2649"/>
    </row>
    <row r="2650" ht="12.75">
      <c r="Q2650"/>
    </row>
    <row r="2651" ht="12.75">
      <c r="Q2651"/>
    </row>
    <row r="2652" ht="12.75">
      <c r="Q2652"/>
    </row>
    <row r="2653" ht="12.75">
      <c r="Q2653"/>
    </row>
    <row r="2654" ht="12.75">
      <c r="Q2654"/>
    </row>
    <row r="2655" ht="12.75">
      <c r="Q2655"/>
    </row>
    <row r="2656" ht="12.75">
      <c r="Q2656"/>
    </row>
    <row r="2657" ht="12.75">
      <c r="Q2657"/>
    </row>
    <row r="2658" ht="12.75">
      <c r="Q2658"/>
    </row>
    <row r="2659" ht="12.75">
      <c r="Q2659"/>
    </row>
    <row r="2660" ht="12.75">
      <c r="Q2660"/>
    </row>
    <row r="2661" ht="12.75">
      <c r="Q2661"/>
    </row>
    <row r="2662" ht="12.75">
      <c r="Q2662"/>
    </row>
    <row r="2663" ht="12.75">
      <c r="Q2663"/>
    </row>
    <row r="2664" ht="12.75">
      <c r="Q2664"/>
    </row>
    <row r="2665" ht="12.75">
      <c r="Q2665"/>
    </row>
    <row r="2666" ht="12.75">
      <c r="Q2666"/>
    </row>
    <row r="2667" ht="12.75">
      <c r="Q2667"/>
    </row>
    <row r="2668" ht="12.75">
      <c r="Q2668"/>
    </row>
    <row r="2669" ht="12.75">
      <c r="Q2669"/>
    </row>
    <row r="2670" ht="12.75">
      <c r="Q2670"/>
    </row>
    <row r="2671" ht="12.75">
      <c r="Q2671"/>
    </row>
    <row r="2672" ht="12.75">
      <c r="Q2672"/>
    </row>
    <row r="2673" ht="12.75">
      <c r="Q2673"/>
    </row>
    <row r="2674" ht="12.75">
      <c r="Q2674"/>
    </row>
    <row r="2675" ht="12.75">
      <c r="Q2675"/>
    </row>
    <row r="2676" ht="12.75">
      <c r="Q2676"/>
    </row>
    <row r="2677" ht="12.75">
      <c r="Q2677"/>
    </row>
    <row r="2678" ht="12.75">
      <c r="Q2678"/>
    </row>
    <row r="2679" ht="12.75">
      <c r="Q2679"/>
    </row>
    <row r="2680" ht="12.75">
      <c r="Q2680"/>
    </row>
    <row r="2681" ht="12.75">
      <c r="Q2681"/>
    </row>
    <row r="2682" ht="12.75">
      <c r="Q2682"/>
    </row>
    <row r="2683" ht="12.75">
      <c r="Q2683"/>
    </row>
    <row r="2684" ht="12.75">
      <c r="Q2684"/>
    </row>
    <row r="2685" ht="12.75">
      <c r="Q2685"/>
    </row>
    <row r="2686" ht="12.75">
      <c r="Q2686"/>
    </row>
    <row r="2687" ht="12.75">
      <c r="Q2687"/>
    </row>
    <row r="2688" ht="12.75">
      <c r="Q2688"/>
    </row>
    <row r="2689" ht="12.75">
      <c r="Q2689"/>
    </row>
    <row r="2690" ht="12.75">
      <c r="Q2690"/>
    </row>
    <row r="2691" ht="12.75">
      <c r="Q2691"/>
    </row>
    <row r="2692" ht="12.75">
      <c r="Q2692"/>
    </row>
    <row r="2693" ht="12.75">
      <c r="Q2693"/>
    </row>
    <row r="2694" ht="12.75">
      <c r="Q2694"/>
    </row>
    <row r="2695" ht="12.75">
      <c r="Q2695"/>
    </row>
    <row r="2696" ht="12.75">
      <c r="Q2696"/>
    </row>
    <row r="2697" ht="12.75">
      <c r="Q2697"/>
    </row>
    <row r="2698" ht="12.75">
      <c r="Q2698"/>
    </row>
    <row r="2699" ht="12.75">
      <c r="Q2699"/>
    </row>
    <row r="2700" ht="12.75">
      <c r="Q2700"/>
    </row>
    <row r="2701" ht="12.75">
      <c r="Q2701"/>
    </row>
    <row r="2702" ht="12.75">
      <c r="Q2702"/>
    </row>
    <row r="2703" ht="12.75">
      <c r="Q2703"/>
    </row>
    <row r="2704" ht="12.75">
      <c r="Q2704"/>
    </row>
    <row r="2705" ht="12.75">
      <c r="Q2705"/>
    </row>
    <row r="2706" ht="12.75">
      <c r="Q2706"/>
    </row>
    <row r="2707" ht="12.75">
      <c r="Q2707"/>
    </row>
    <row r="2708" ht="12.75">
      <c r="Q2708"/>
    </row>
    <row r="2709" ht="12.75">
      <c r="Q2709"/>
    </row>
    <row r="2710" ht="12.75">
      <c r="Q2710"/>
    </row>
    <row r="2711" ht="12.75">
      <c r="Q2711"/>
    </row>
    <row r="2712" ht="12.75">
      <c r="Q2712"/>
    </row>
    <row r="2713" ht="12.75">
      <c r="Q2713"/>
    </row>
    <row r="2714" ht="12.75">
      <c r="Q2714"/>
    </row>
    <row r="2715" ht="12.75">
      <c r="Q2715"/>
    </row>
    <row r="2716" ht="12.75">
      <c r="Q2716"/>
    </row>
    <row r="2717" ht="12.75">
      <c r="Q2717"/>
    </row>
    <row r="2718" ht="12.75">
      <c r="Q2718"/>
    </row>
    <row r="2719" ht="12.75">
      <c r="Q2719"/>
    </row>
    <row r="2720" ht="12.75">
      <c r="Q2720"/>
    </row>
    <row r="2721" ht="12.75">
      <c r="Q2721"/>
    </row>
    <row r="2722" ht="12.75">
      <c r="Q2722"/>
    </row>
    <row r="2723" ht="12.75">
      <c r="Q2723"/>
    </row>
    <row r="2724" ht="12.75">
      <c r="Q2724"/>
    </row>
    <row r="2725" ht="12.75">
      <c r="Q2725"/>
    </row>
    <row r="2726" ht="12.75">
      <c r="Q2726"/>
    </row>
    <row r="2727" ht="12.75">
      <c r="Q2727"/>
    </row>
    <row r="2728" ht="12.75">
      <c r="Q2728"/>
    </row>
    <row r="2729" ht="12.75">
      <c r="Q2729"/>
    </row>
    <row r="2730" ht="12.75">
      <c r="Q2730"/>
    </row>
    <row r="2731" ht="12.75">
      <c r="Q2731"/>
    </row>
    <row r="2732" ht="12.75">
      <c r="Q2732"/>
    </row>
    <row r="2733" ht="12.75">
      <c r="Q2733"/>
    </row>
    <row r="2734" ht="12.75">
      <c r="Q2734"/>
    </row>
    <row r="2735" ht="12.75">
      <c r="Q2735"/>
    </row>
    <row r="2736" ht="12.75">
      <c r="Q2736"/>
    </row>
    <row r="2737" ht="12.75">
      <c r="Q2737"/>
    </row>
    <row r="2738" ht="12.75">
      <c r="Q2738"/>
    </row>
    <row r="2739" ht="12.75">
      <c r="Q2739"/>
    </row>
    <row r="2740" ht="12.75">
      <c r="Q2740"/>
    </row>
    <row r="2741" ht="12.75">
      <c r="Q2741"/>
    </row>
    <row r="2742" ht="12.75">
      <c r="Q2742"/>
    </row>
    <row r="2743" ht="12.75">
      <c r="Q2743"/>
    </row>
    <row r="2744" ht="12.75">
      <c r="Q2744"/>
    </row>
    <row r="2745" ht="12.75">
      <c r="Q2745"/>
    </row>
    <row r="2746" ht="12.75">
      <c r="Q2746"/>
    </row>
    <row r="2747" ht="12.75">
      <c r="Q2747"/>
    </row>
    <row r="2748" ht="12.75">
      <c r="Q2748"/>
    </row>
    <row r="2749" ht="12.75">
      <c r="Q2749"/>
    </row>
    <row r="2750" ht="12.75">
      <c r="Q2750"/>
    </row>
    <row r="2751" ht="12.75">
      <c r="Q2751"/>
    </row>
    <row r="2752" ht="12.75">
      <c r="Q2752"/>
    </row>
    <row r="2753" ht="12.75">
      <c r="Q2753"/>
    </row>
    <row r="2754" ht="12.75">
      <c r="Q2754"/>
    </row>
    <row r="2755" ht="12.75">
      <c r="Q2755"/>
    </row>
    <row r="2756" ht="12.75">
      <c r="Q2756"/>
    </row>
    <row r="2757" ht="12.75">
      <c r="Q2757"/>
    </row>
    <row r="2758" ht="12.75">
      <c r="Q2758"/>
    </row>
    <row r="2759" ht="12.75">
      <c r="Q2759"/>
    </row>
    <row r="2760" ht="12.75">
      <c r="Q2760"/>
    </row>
    <row r="2761" ht="12.75">
      <c r="Q2761"/>
    </row>
    <row r="2762" ht="12.75">
      <c r="Q2762"/>
    </row>
    <row r="2763" ht="12.75">
      <c r="Q2763"/>
    </row>
    <row r="2764" ht="12.75">
      <c r="Q2764"/>
    </row>
    <row r="2765" ht="12.75">
      <c r="Q2765"/>
    </row>
    <row r="2766" ht="12.75">
      <c r="Q2766"/>
    </row>
    <row r="2767" ht="12.75">
      <c r="Q2767"/>
    </row>
    <row r="2768" ht="12.75">
      <c r="Q2768"/>
    </row>
    <row r="2769" ht="12.75">
      <c r="Q2769"/>
    </row>
    <row r="2770" ht="12.75">
      <c r="Q2770"/>
    </row>
    <row r="2771" ht="12.75">
      <c r="Q2771"/>
    </row>
    <row r="2772" ht="12.75">
      <c r="Q2772"/>
    </row>
    <row r="2773" ht="12.75">
      <c r="Q2773"/>
    </row>
    <row r="2774" ht="12.75">
      <c r="Q2774"/>
    </row>
    <row r="2775" ht="12.75">
      <c r="Q2775"/>
    </row>
    <row r="2776" ht="12.75">
      <c r="Q2776"/>
    </row>
    <row r="2777" ht="12.75">
      <c r="Q2777"/>
    </row>
    <row r="2778" ht="12.75">
      <c r="Q2778"/>
    </row>
    <row r="2779" ht="12.75">
      <c r="Q2779"/>
    </row>
    <row r="2780" ht="12.75">
      <c r="Q2780"/>
    </row>
    <row r="2781" ht="12.75">
      <c r="Q2781"/>
    </row>
    <row r="2782" ht="12.75">
      <c r="Q2782"/>
    </row>
    <row r="2783" ht="12.75">
      <c r="Q2783"/>
    </row>
    <row r="2784" ht="12.75">
      <c r="Q2784"/>
    </row>
    <row r="2785" ht="12.75">
      <c r="Q2785"/>
    </row>
    <row r="2786" ht="12.75">
      <c r="Q2786"/>
    </row>
    <row r="2787" ht="12.75">
      <c r="Q2787"/>
    </row>
    <row r="2788" ht="12.75">
      <c r="Q2788"/>
    </row>
    <row r="2789" ht="12.75">
      <c r="Q2789"/>
    </row>
    <row r="2790" ht="12.75">
      <c r="Q2790"/>
    </row>
    <row r="2791" ht="12.75">
      <c r="Q2791"/>
    </row>
    <row r="2792" ht="12.75">
      <c r="Q2792"/>
    </row>
    <row r="2793" ht="12.75">
      <c r="Q2793"/>
    </row>
    <row r="2794" ht="12.75">
      <c r="Q2794"/>
    </row>
    <row r="2795" ht="12.75">
      <c r="Q2795"/>
    </row>
    <row r="2796" ht="12.75">
      <c r="Q2796"/>
    </row>
    <row r="2797" ht="12.75">
      <c r="Q2797"/>
    </row>
    <row r="2798" ht="12.75">
      <c r="Q2798"/>
    </row>
    <row r="2799" ht="12.75">
      <c r="Q2799"/>
    </row>
    <row r="2800" ht="12.75">
      <c r="Q2800"/>
    </row>
    <row r="2801" ht="12.75">
      <c r="Q2801"/>
    </row>
    <row r="2802" ht="12.75">
      <c r="Q2802"/>
    </row>
    <row r="2803" ht="12.75">
      <c r="Q2803"/>
    </row>
    <row r="2804" ht="12.75">
      <c r="Q2804"/>
    </row>
    <row r="2805" ht="12.75">
      <c r="Q2805"/>
    </row>
    <row r="2806" ht="12.75">
      <c r="Q2806"/>
    </row>
    <row r="2807" ht="12.75">
      <c r="Q2807"/>
    </row>
    <row r="2808" ht="12.75">
      <c r="Q2808"/>
    </row>
    <row r="2809" ht="12.75">
      <c r="Q2809"/>
    </row>
    <row r="2810" ht="12.75">
      <c r="Q2810"/>
    </row>
    <row r="2811" ht="12.75">
      <c r="Q2811"/>
    </row>
    <row r="2812" ht="12.75">
      <c r="Q2812"/>
    </row>
    <row r="2813" ht="12.75">
      <c r="Q2813"/>
    </row>
    <row r="2814" ht="12.75">
      <c r="Q2814"/>
    </row>
    <row r="2815" ht="12.75">
      <c r="Q2815"/>
    </row>
    <row r="2816" ht="12.75">
      <c r="Q2816"/>
    </row>
    <row r="2817" ht="12.75">
      <c r="Q2817"/>
    </row>
    <row r="2818" ht="12.75">
      <c r="Q2818"/>
    </row>
    <row r="2819" ht="12.75">
      <c r="Q2819"/>
    </row>
    <row r="2820" ht="12.75">
      <c r="Q2820"/>
    </row>
    <row r="2821" ht="12.75">
      <c r="Q2821"/>
    </row>
    <row r="2822" ht="12.75">
      <c r="Q2822"/>
    </row>
    <row r="2823" ht="12.75">
      <c r="Q2823"/>
    </row>
    <row r="2824" ht="12.75">
      <c r="Q2824"/>
    </row>
    <row r="2825" ht="12.75">
      <c r="Q2825"/>
    </row>
    <row r="2826" ht="12.75">
      <c r="Q2826"/>
    </row>
    <row r="2827" ht="12.75">
      <c r="Q2827"/>
    </row>
    <row r="2828" ht="12.75">
      <c r="Q2828"/>
    </row>
    <row r="2829" ht="12.75">
      <c r="Q2829"/>
    </row>
    <row r="2830" ht="12.75">
      <c r="Q2830"/>
    </row>
    <row r="2831" ht="12.75">
      <c r="Q2831"/>
    </row>
    <row r="2832" ht="12.75">
      <c r="Q2832"/>
    </row>
    <row r="2833" ht="12.75">
      <c r="Q2833"/>
    </row>
    <row r="2834" ht="12.75">
      <c r="Q2834"/>
    </row>
    <row r="2835" ht="12.75">
      <c r="Q2835"/>
    </row>
    <row r="2836" ht="12.75">
      <c r="Q2836"/>
    </row>
    <row r="2837" ht="12.75">
      <c r="Q2837"/>
    </row>
    <row r="2838" ht="12.75">
      <c r="Q2838"/>
    </row>
    <row r="2839" ht="12.75">
      <c r="Q2839"/>
    </row>
    <row r="2840" ht="12.75">
      <c r="Q2840"/>
    </row>
    <row r="2841" ht="12.75">
      <c r="Q2841"/>
    </row>
    <row r="2842" ht="12.75">
      <c r="Q2842"/>
    </row>
    <row r="2843" ht="12.75">
      <c r="Q2843"/>
    </row>
    <row r="2844" ht="12.75">
      <c r="Q2844"/>
    </row>
    <row r="2845" ht="12.75">
      <c r="Q2845"/>
    </row>
    <row r="2846" ht="12.75">
      <c r="Q2846"/>
    </row>
    <row r="2847" ht="12.75">
      <c r="Q2847"/>
    </row>
    <row r="2848" ht="12.75">
      <c r="Q2848"/>
    </row>
    <row r="2849" ht="12.75">
      <c r="Q2849"/>
    </row>
    <row r="2850" ht="12.75">
      <c r="Q2850"/>
    </row>
    <row r="2851" ht="12.75">
      <c r="Q2851"/>
    </row>
    <row r="2852" ht="12.75">
      <c r="Q2852"/>
    </row>
    <row r="2853" ht="12.75">
      <c r="Q2853"/>
    </row>
    <row r="2854" ht="12.75">
      <c r="Q2854"/>
    </row>
    <row r="2855" ht="12.75">
      <c r="Q2855"/>
    </row>
    <row r="2856" ht="12.75">
      <c r="Q2856"/>
    </row>
    <row r="2857" ht="12.75">
      <c r="Q2857"/>
    </row>
    <row r="2858" ht="12.75">
      <c r="Q2858"/>
    </row>
    <row r="2859" ht="12.75">
      <c r="Q2859"/>
    </row>
    <row r="2860" ht="12.75">
      <c r="Q2860"/>
    </row>
    <row r="2861" ht="12.75">
      <c r="Q2861"/>
    </row>
    <row r="2862" ht="12.75">
      <c r="Q2862"/>
    </row>
    <row r="2863" ht="12.75">
      <c r="Q2863"/>
    </row>
    <row r="2864" ht="12.75">
      <c r="Q2864"/>
    </row>
    <row r="2865" ht="12.75">
      <c r="Q2865"/>
    </row>
    <row r="2866" ht="12.75">
      <c r="Q2866"/>
    </row>
    <row r="2867" ht="12.75">
      <c r="Q2867"/>
    </row>
    <row r="2868" ht="12.75">
      <c r="Q2868"/>
    </row>
    <row r="2869" ht="12.75">
      <c r="Q2869"/>
    </row>
    <row r="2870" ht="12.75">
      <c r="Q2870"/>
    </row>
    <row r="2871" ht="12.75">
      <c r="Q2871"/>
    </row>
    <row r="2872" ht="12.75">
      <c r="Q2872"/>
    </row>
    <row r="2873" ht="12.75">
      <c r="Q2873"/>
    </row>
    <row r="2874" ht="12.75">
      <c r="Q2874"/>
    </row>
    <row r="2875" ht="12.75">
      <c r="Q2875"/>
    </row>
    <row r="2876" ht="12.75">
      <c r="Q2876"/>
    </row>
    <row r="2877" ht="12.75">
      <c r="Q2877"/>
    </row>
    <row r="2878" ht="12.75">
      <c r="Q2878"/>
    </row>
    <row r="2879" ht="12.75">
      <c r="Q2879"/>
    </row>
    <row r="2880" ht="12.75">
      <c r="Q2880"/>
    </row>
    <row r="2881" ht="12.75">
      <c r="Q2881"/>
    </row>
    <row r="2882" ht="12.75">
      <c r="Q2882"/>
    </row>
    <row r="2883" ht="12.75">
      <c r="Q2883"/>
    </row>
    <row r="2884" ht="12.75">
      <c r="Q2884"/>
    </row>
    <row r="2885" ht="12.75">
      <c r="Q2885"/>
    </row>
    <row r="2886" ht="12.75">
      <c r="Q2886"/>
    </row>
    <row r="2887" ht="12.75">
      <c r="Q2887"/>
    </row>
    <row r="2888" ht="12.75">
      <c r="Q2888"/>
    </row>
    <row r="2889" ht="12.75">
      <c r="Q2889"/>
    </row>
    <row r="2890" ht="12.75">
      <c r="Q2890"/>
    </row>
    <row r="2891" ht="12.75">
      <c r="Q2891"/>
    </row>
    <row r="2892" ht="12.75">
      <c r="Q2892"/>
    </row>
    <row r="2893" ht="12.75">
      <c r="Q2893"/>
    </row>
    <row r="2894" ht="12.75">
      <c r="Q2894"/>
    </row>
    <row r="2895" ht="12.75">
      <c r="Q2895"/>
    </row>
    <row r="2896" ht="12.75">
      <c r="Q2896"/>
    </row>
    <row r="2897" ht="12.75">
      <c r="Q2897"/>
    </row>
    <row r="2898" ht="12.75">
      <c r="Q2898"/>
    </row>
    <row r="2899" ht="12.75">
      <c r="Q2899"/>
    </row>
    <row r="2900" ht="12.75">
      <c r="Q2900"/>
    </row>
    <row r="2901" ht="12.75">
      <c r="Q2901"/>
    </row>
    <row r="2902" ht="12.75">
      <c r="Q2902"/>
    </row>
    <row r="2903" ht="12.75">
      <c r="Q2903"/>
    </row>
    <row r="2904" ht="12.75">
      <c r="Q2904"/>
    </row>
    <row r="2905" ht="12.75">
      <c r="Q2905"/>
    </row>
    <row r="2906" ht="12.75">
      <c r="Q2906"/>
    </row>
    <row r="2907" ht="12.75">
      <c r="Q2907"/>
    </row>
    <row r="2908" ht="12.75">
      <c r="Q2908"/>
    </row>
    <row r="2909" ht="12.75">
      <c r="Q2909"/>
    </row>
    <row r="2910" ht="12.75">
      <c r="Q2910"/>
    </row>
    <row r="2911" ht="12.75">
      <c r="Q2911"/>
    </row>
    <row r="2912" ht="12.75">
      <c r="Q2912"/>
    </row>
    <row r="2913" ht="12.75">
      <c r="Q2913"/>
    </row>
    <row r="2914" ht="12.75">
      <c r="Q2914"/>
    </row>
    <row r="2915" ht="12.75">
      <c r="Q2915"/>
    </row>
    <row r="2916" ht="12.75">
      <c r="Q2916"/>
    </row>
    <row r="2917" ht="12.75">
      <c r="Q2917"/>
    </row>
    <row r="2918" ht="12.75">
      <c r="Q2918"/>
    </row>
    <row r="2919" ht="12.75">
      <c r="Q2919"/>
    </row>
    <row r="2920" ht="12.75">
      <c r="Q2920"/>
    </row>
    <row r="2921" ht="12.75">
      <c r="Q2921"/>
    </row>
    <row r="2922" ht="12.75">
      <c r="Q2922"/>
    </row>
    <row r="2923" ht="12.75">
      <c r="Q2923"/>
    </row>
    <row r="2924" ht="12.75">
      <c r="Q2924"/>
    </row>
    <row r="2925" ht="12.75">
      <c r="Q2925"/>
    </row>
    <row r="2926" ht="12.75">
      <c r="Q2926"/>
    </row>
    <row r="2927" ht="12.75">
      <c r="Q2927"/>
    </row>
    <row r="2928" ht="12.75">
      <c r="Q2928"/>
    </row>
    <row r="2929" ht="12.75">
      <c r="Q2929"/>
    </row>
    <row r="2930" ht="12.75">
      <c r="Q2930"/>
    </row>
    <row r="2931" ht="12.75">
      <c r="Q2931"/>
    </row>
    <row r="2932" ht="12.75">
      <c r="Q2932"/>
    </row>
    <row r="2933" ht="12.75">
      <c r="Q2933"/>
    </row>
    <row r="2934" ht="12.75">
      <c r="Q2934"/>
    </row>
    <row r="2935" ht="12.75">
      <c r="Q2935"/>
    </row>
    <row r="2936" ht="12.75">
      <c r="Q2936"/>
    </row>
    <row r="2937" ht="12.75">
      <c r="Q2937"/>
    </row>
    <row r="2938" ht="12.75">
      <c r="Q2938"/>
    </row>
    <row r="2939" ht="12.75">
      <c r="Q2939"/>
    </row>
    <row r="2940" ht="12.75">
      <c r="Q2940"/>
    </row>
    <row r="2941" ht="12.75">
      <c r="Q2941"/>
    </row>
    <row r="2942" ht="12.75">
      <c r="Q2942"/>
    </row>
    <row r="2943" ht="12.75">
      <c r="Q2943"/>
    </row>
    <row r="2944" ht="12.75">
      <c r="Q2944"/>
    </row>
    <row r="2945" ht="12.75">
      <c r="Q2945"/>
    </row>
    <row r="2946" ht="12.75">
      <c r="Q2946"/>
    </row>
    <row r="2947" ht="12.75">
      <c r="Q2947"/>
    </row>
    <row r="2948" ht="12.75">
      <c r="Q2948"/>
    </row>
    <row r="2949" ht="12.75">
      <c r="Q2949"/>
    </row>
    <row r="2950" ht="12.75">
      <c r="Q2950"/>
    </row>
    <row r="2951" ht="12.75">
      <c r="Q2951"/>
    </row>
    <row r="2952" ht="12.75">
      <c r="Q2952"/>
    </row>
    <row r="2953" ht="12.75">
      <c r="Q2953"/>
    </row>
    <row r="2954" ht="12.75">
      <c r="Q2954"/>
    </row>
    <row r="2955" ht="12.75">
      <c r="Q2955"/>
    </row>
    <row r="2956" ht="12.75">
      <c r="Q2956"/>
    </row>
    <row r="2957" ht="12.75">
      <c r="Q2957"/>
    </row>
    <row r="2958" ht="12.75">
      <c r="Q2958"/>
    </row>
    <row r="2959" ht="12.75">
      <c r="Q2959"/>
    </row>
    <row r="2960" ht="12.75">
      <c r="Q2960"/>
    </row>
    <row r="2961" ht="12.75">
      <c r="Q2961"/>
    </row>
    <row r="2962" ht="12.75">
      <c r="Q2962"/>
    </row>
    <row r="2963" ht="12.75">
      <c r="Q2963"/>
    </row>
    <row r="2964" ht="12.75">
      <c r="Q2964"/>
    </row>
    <row r="2965" ht="12.75">
      <c r="Q2965"/>
    </row>
    <row r="2966" ht="12.75">
      <c r="Q2966"/>
    </row>
    <row r="2967" ht="12.75">
      <c r="Q2967"/>
    </row>
    <row r="2968" ht="12.75">
      <c r="Q2968"/>
    </row>
    <row r="2969" ht="12.75">
      <c r="Q2969"/>
    </row>
    <row r="2970" ht="12.75">
      <c r="Q2970"/>
    </row>
    <row r="2971" ht="12.75">
      <c r="Q2971"/>
    </row>
    <row r="2972" ht="12.75">
      <c r="Q2972"/>
    </row>
    <row r="2973" ht="12.75">
      <c r="Q2973"/>
    </row>
    <row r="2974" ht="12.75">
      <c r="Q2974"/>
    </row>
    <row r="2975" ht="12.75">
      <c r="Q2975"/>
    </row>
    <row r="2976" ht="12.75">
      <c r="Q2976"/>
    </row>
    <row r="2977" ht="12.75">
      <c r="Q2977"/>
    </row>
    <row r="2978" ht="12.75">
      <c r="Q2978"/>
    </row>
    <row r="2979" ht="12.75">
      <c r="Q2979"/>
    </row>
    <row r="2980" ht="12.75">
      <c r="Q2980"/>
    </row>
    <row r="2981" ht="12.75">
      <c r="Q2981"/>
    </row>
    <row r="2982" ht="12.75">
      <c r="Q2982"/>
    </row>
    <row r="2983" ht="12.75">
      <c r="Q2983"/>
    </row>
    <row r="2984" ht="12.75">
      <c r="Q2984"/>
    </row>
    <row r="2985" ht="12.75">
      <c r="Q2985"/>
    </row>
    <row r="2986" ht="12.75">
      <c r="Q2986"/>
    </row>
    <row r="2987" ht="12.75">
      <c r="Q2987"/>
    </row>
    <row r="2988" ht="12.75">
      <c r="Q2988"/>
    </row>
    <row r="2989" ht="12.75">
      <c r="Q2989"/>
    </row>
    <row r="2990" ht="12.75">
      <c r="Q2990"/>
    </row>
    <row r="2991" ht="12.75">
      <c r="Q2991"/>
    </row>
    <row r="2992" ht="12.75">
      <c r="Q2992"/>
    </row>
    <row r="2993" ht="12.75">
      <c r="Q2993"/>
    </row>
    <row r="2994" ht="12.75">
      <c r="Q2994"/>
    </row>
    <row r="2995" ht="12.75">
      <c r="Q2995"/>
    </row>
    <row r="2996" ht="12.75">
      <c r="Q2996"/>
    </row>
    <row r="2997" ht="12.75">
      <c r="Q2997"/>
    </row>
    <row r="2998" ht="12.75">
      <c r="Q2998"/>
    </row>
    <row r="2999" ht="12.75">
      <c r="Q2999"/>
    </row>
    <row r="3000" ht="12.75">
      <c r="Q3000"/>
    </row>
    <row r="3001" ht="12.75">
      <c r="Q3001"/>
    </row>
    <row r="3002" ht="12.75">
      <c r="Q3002"/>
    </row>
    <row r="3003" ht="12.75">
      <c r="Q3003"/>
    </row>
    <row r="3004" ht="12.75">
      <c r="Q3004"/>
    </row>
    <row r="3005" ht="12.75">
      <c r="Q3005"/>
    </row>
    <row r="3006" ht="12.75">
      <c r="Q3006"/>
    </row>
    <row r="3007" ht="12.75">
      <c r="Q3007"/>
    </row>
    <row r="3008" ht="12.75">
      <c r="Q3008"/>
    </row>
    <row r="3009" ht="12.75">
      <c r="Q3009"/>
    </row>
    <row r="3010" ht="12.75">
      <c r="Q3010"/>
    </row>
    <row r="3011" ht="12.75">
      <c r="Q3011"/>
    </row>
    <row r="3012" ht="12.75">
      <c r="Q3012"/>
    </row>
    <row r="3013" ht="12.75">
      <c r="Q3013"/>
    </row>
    <row r="3014" ht="12.75">
      <c r="Q3014"/>
    </row>
    <row r="3015" ht="12.75">
      <c r="Q3015"/>
    </row>
    <row r="3016" ht="12.75">
      <c r="Q3016"/>
    </row>
    <row r="3017" ht="12.75">
      <c r="Q3017"/>
    </row>
    <row r="3018" ht="12.75">
      <c r="Q3018"/>
    </row>
    <row r="3019" ht="12.75">
      <c r="Q3019"/>
    </row>
    <row r="3020" ht="12.75">
      <c r="Q3020"/>
    </row>
    <row r="3021" ht="12.75">
      <c r="Q3021"/>
    </row>
    <row r="3022" ht="12.75">
      <c r="Q3022"/>
    </row>
    <row r="3023" ht="12.75">
      <c r="Q3023"/>
    </row>
    <row r="3024" ht="12.75">
      <c r="Q3024"/>
    </row>
    <row r="3025" ht="12.75">
      <c r="Q3025"/>
    </row>
    <row r="3026" ht="12.75">
      <c r="Q3026"/>
    </row>
    <row r="3027" ht="12.75">
      <c r="Q3027"/>
    </row>
    <row r="3028" ht="12.75">
      <c r="Q3028"/>
    </row>
    <row r="3029" ht="12.75">
      <c r="Q3029"/>
    </row>
    <row r="3030" ht="12.75">
      <c r="Q3030"/>
    </row>
    <row r="3031" ht="12.75">
      <c r="Q3031"/>
    </row>
    <row r="3032" ht="12.75">
      <c r="Q3032"/>
    </row>
    <row r="3033" ht="12.75">
      <c r="Q3033"/>
    </row>
    <row r="3034" ht="12.75">
      <c r="Q3034"/>
    </row>
    <row r="3035" ht="12.75">
      <c r="Q3035"/>
    </row>
    <row r="3036" ht="12.75">
      <c r="Q3036"/>
    </row>
    <row r="3037" ht="12.75">
      <c r="Q3037"/>
    </row>
    <row r="3038" ht="12.75">
      <c r="Q3038"/>
    </row>
    <row r="3039" ht="12.75">
      <c r="Q3039"/>
    </row>
    <row r="3040" ht="12.75">
      <c r="Q3040"/>
    </row>
    <row r="3041" ht="12.75">
      <c r="Q3041"/>
    </row>
    <row r="3042" ht="12.75">
      <c r="Q3042"/>
    </row>
    <row r="3043" ht="12.75">
      <c r="Q3043"/>
    </row>
    <row r="3044" ht="12.75">
      <c r="Q3044"/>
    </row>
    <row r="3045" ht="12.75">
      <c r="Q3045"/>
    </row>
    <row r="3046" ht="12.75">
      <c r="Q3046"/>
    </row>
    <row r="3047" ht="12.75">
      <c r="Q3047"/>
    </row>
    <row r="3048" ht="12.75">
      <c r="Q3048"/>
    </row>
    <row r="3049" ht="12.75">
      <c r="Q3049"/>
    </row>
    <row r="3050" ht="12.75">
      <c r="Q3050"/>
    </row>
    <row r="3051" ht="12.75">
      <c r="Q3051"/>
    </row>
    <row r="3052" ht="12.75">
      <c r="Q3052"/>
    </row>
    <row r="3053" ht="12.75">
      <c r="Q3053"/>
    </row>
    <row r="3054" ht="12.75">
      <c r="Q3054"/>
    </row>
    <row r="3055" ht="12.75">
      <c r="Q3055"/>
    </row>
    <row r="3056" ht="12.75">
      <c r="Q3056"/>
    </row>
    <row r="3057" ht="12.75">
      <c r="Q3057"/>
    </row>
    <row r="3058" ht="12.75">
      <c r="Q3058"/>
    </row>
    <row r="3059" ht="12.75">
      <c r="Q3059"/>
    </row>
    <row r="3060" ht="12.75">
      <c r="Q3060"/>
    </row>
    <row r="3061" ht="12.75">
      <c r="Q3061"/>
    </row>
    <row r="3062" ht="12.75">
      <c r="Q3062"/>
    </row>
    <row r="3063" ht="12.75">
      <c r="Q3063"/>
    </row>
    <row r="3064" ht="12.75">
      <c r="Q3064"/>
    </row>
    <row r="3065" ht="12.75">
      <c r="Q3065"/>
    </row>
    <row r="3066" ht="12.75">
      <c r="Q3066"/>
    </row>
    <row r="3067" ht="12.75">
      <c r="Q3067"/>
    </row>
    <row r="3068" ht="12.75">
      <c r="Q3068"/>
    </row>
    <row r="3069" ht="12.75">
      <c r="Q3069"/>
    </row>
    <row r="3070" ht="12.75">
      <c r="Q3070"/>
    </row>
    <row r="3071" ht="12.75">
      <c r="Q3071"/>
    </row>
    <row r="3072" ht="12.75">
      <c r="Q3072"/>
    </row>
    <row r="3073" ht="12.75">
      <c r="Q3073"/>
    </row>
    <row r="3074" ht="12.75">
      <c r="Q3074"/>
    </row>
    <row r="3075" ht="12.75">
      <c r="Q3075"/>
    </row>
    <row r="3076" ht="12.75">
      <c r="Q3076"/>
    </row>
    <row r="3077" ht="12.75">
      <c r="Q3077"/>
    </row>
    <row r="3078" ht="12.75">
      <c r="Q3078"/>
    </row>
    <row r="3079" ht="12.75">
      <c r="Q3079"/>
    </row>
    <row r="3080" ht="12.75">
      <c r="Q3080"/>
    </row>
    <row r="3081" ht="12.75">
      <c r="Q3081"/>
    </row>
    <row r="3082" ht="12.75">
      <c r="Q3082"/>
    </row>
    <row r="3083" ht="12.75">
      <c r="Q3083"/>
    </row>
    <row r="3084" ht="12.75">
      <c r="Q3084"/>
    </row>
    <row r="3085" ht="12.75">
      <c r="Q3085"/>
    </row>
    <row r="3086" ht="12.75">
      <c r="Q3086"/>
    </row>
    <row r="3087" ht="12.75">
      <c r="Q3087"/>
    </row>
    <row r="3088" ht="12.75">
      <c r="Q3088"/>
    </row>
    <row r="3089" ht="12.75">
      <c r="Q3089"/>
    </row>
    <row r="3090" ht="12.75">
      <c r="Q3090"/>
    </row>
    <row r="3091" ht="12.75">
      <c r="Q3091"/>
    </row>
    <row r="3092" ht="12.75">
      <c r="Q3092"/>
    </row>
    <row r="3093" ht="12.75">
      <c r="Q3093"/>
    </row>
    <row r="3094" ht="12.75">
      <c r="Q3094"/>
    </row>
    <row r="3095" ht="12.75">
      <c r="Q3095"/>
    </row>
    <row r="3096" ht="12.75">
      <c r="Q3096"/>
    </row>
    <row r="3097" ht="12.75">
      <c r="Q3097"/>
    </row>
    <row r="3098" ht="12.75">
      <c r="Q3098"/>
    </row>
    <row r="3099" ht="12.75">
      <c r="Q3099"/>
    </row>
    <row r="3100" ht="12.75">
      <c r="Q3100"/>
    </row>
    <row r="3101" ht="12.75">
      <c r="Q3101"/>
    </row>
    <row r="3102" ht="12.75">
      <c r="Q3102"/>
    </row>
    <row r="3103" ht="12.75">
      <c r="Q3103"/>
    </row>
    <row r="3104" ht="12.75">
      <c r="Q3104"/>
    </row>
    <row r="3105" ht="12.75">
      <c r="Q3105"/>
    </row>
    <row r="3106" ht="12.75">
      <c r="Q3106"/>
    </row>
    <row r="3107" ht="12.75">
      <c r="Q3107"/>
    </row>
    <row r="3108" ht="12.75">
      <c r="Q3108"/>
    </row>
    <row r="3109" ht="12.75">
      <c r="Q3109"/>
    </row>
    <row r="3110" ht="12.75">
      <c r="Q3110"/>
    </row>
    <row r="3111" ht="12.75">
      <c r="Q3111"/>
    </row>
    <row r="3112" ht="12.75">
      <c r="Q3112"/>
    </row>
    <row r="3113" ht="12.75">
      <c r="Q3113"/>
    </row>
    <row r="3114" ht="12.75">
      <c r="Q3114"/>
    </row>
    <row r="3115" ht="12.75">
      <c r="Q3115"/>
    </row>
    <row r="3116" ht="12.75">
      <c r="Q3116"/>
    </row>
    <row r="3117" ht="12.75">
      <c r="Q3117"/>
    </row>
    <row r="3118" ht="12.75">
      <c r="Q3118"/>
    </row>
    <row r="3119" ht="12.75">
      <c r="Q3119"/>
    </row>
    <row r="3120" ht="12.75">
      <c r="Q3120"/>
    </row>
    <row r="3121" ht="12.75">
      <c r="Q3121"/>
    </row>
    <row r="3122" ht="12.75">
      <c r="Q3122"/>
    </row>
    <row r="3123" ht="12.75">
      <c r="Q3123"/>
    </row>
    <row r="3124" ht="12.75">
      <c r="Q3124"/>
    </row>
    <row r="3125" ht="12.75">
      <c r="Q3125"/>
    </row>
    <row r="3126" ht="12.75">
      <c r="Q3126"/>
    </row>
    <row r="3127" ht="12.75">
      <c r="Q3127"/>
    </row>
    <row r="3128" ht="12.75">
      <c r="Q3128"/>
    </row>
    <row r="3129" ht="12.75">
      <c r="Q3129"/>
    </row>
    <row r="3130" ht="12.75">
      <c r="Q3130"/>
    </row>
    <row r="3131" ht="12.75">
      <c r="Q3131"/>
    </row>
    <row r="3132" ht="12.75">
      <c r="Q3132"/>
    </row>
    <row r="3133" ht="12.75">
      <c r="Q3133"/>
    </row>
    <row r="3134" ht="12.75">
      <c r="Q3134"/>
    </row>
    <row r="3135" ht="12.75">
      <c r="Q3135"/>
    </row>
    <row r="3136" ht="12.75">
      <c r="Q3136"/>
    </row>
    <row r="3137" ht="12.75">
      <c r="Q3137"/>
    </row>
    <row r="3138" ht="12.75">
      <c r="Q3138"/>
    </row>
    <row r="3139" ht="12.75">
      <c r="Q3139"/>
    </row>
    <row r="3140" ht="12.75">
      <c r="Q3140"/>
    </row>
    <row r="3141" ht="12.75">
      <c r="Q3141"/>
    </row>
    <row r="3142" ht="12.75">
      <c r="Q3142"/>
    </row>
    <row r="3143" ht="12.75">
      <c r="Q3143"/>
    </row>
    <row r="3144" ht="12.75">
      <c r="Q3144"/>
    </row>
    <row r="3145" ht="12.75">
      <c r="Q3145"/>
    </row>
    <row r="3146" ht="12.75">
      <c r="Q3146"/>
    </row>
    <row r="3147" ht="12.75">
      <c r="Q3147"/>
    </row>
    <row r="3148" ht="12.75">
      <c r="Q3148"/>
    </row>
    <row r="3149" ht="12.75">
      <c r="Q3149"/>
    </row>
    <row r="3150" ht="12.75">
      <c r="Q3150"/>
    </row>
    <row r="3151" ht="12.75">
      <c r="Q3151"/>
    </row>
    <row r="3152" ht="12.75">
      <c r="Q3152"/>
    </row>
    <row r="3153" ht="12.75">
      <c r="Q3153"/>
    </row>
    <row r="3154" ht="12.75">
      <c r="Q3154"/>
    </row>
    <row r="3155" ht="12.75">
      <c r="Q3155"/>
    </row>
    <row r="3156" ht="12.75">
      <c r="Q3156"/>
    </row>
    <row r="3157" ht="12.75">
      <c r="Q3157"/>
    </row>
    <row r="3158" ht="12.75">
      <c r="Q3158"/>
    </row>
    <row r="3159" ht="12.75">
      <c r="Q3159"/>
    </row>
    <row r="3160" ht="12.75">
      <c r="Q3160"/>
    </row>
    <row r="3161" ht="12.75">
      <c r="Q3161"/>
    </row>
    <row r="3162" ht="12.75">
      <c r="Q3162"/>
    </row>
    <row r="3163" ht="12.75">
      <c r="Q3163"/>
    </row>
    <row r="3164" ht="12.75">
      <c r="Q3164"/>
    </row>
    <row r="3165" ht="12.75">
      <c r="Q3165"/>
    </row>
    <row r="3166" ht="12.75">
      <c r="Q3166"/>
    </row>
    <row r="3167" ht="12.75">
      <c r="Q3167"/>
    </row>
    <row r="3168" ht="12.75">
      <c r="Q3168"/>
    </row>
    <row r="3169" ht="12.75">
      <c r="Q3169"/>
    </row>
    <row r="3170" ht="12.75">
      <c r="Q3170"/>
    </row>
    <row r="3171" ht="12.75">
      <c r="Q3171"/>
    </row>
    <row r="3172" ht="12.75">
      <c r="Q3172"/>
    </row>
    <row r="3173" ht="12.75">
      <c r="Q3173"/>
    </row>
    <row r="3174" ht="12.75">
      <c r="Q3174"/>
    </row>
    <row r="3175" ht="12.75">
      <c r="Q3175"/>
    </row>
    <row r="3176" ht="12.75">
      <c r="Q3176"/>
    </row>
    <row r="3177" ht="12.75">
      <c r="Q3177"/>
    </row>
    <row r="3178" ht="12.75">
      <c r="Q3178"/>
    </row>
    <row r="3179" ht="12.75">
      <c r="Q3179"/>
    </row>
    <row r="3180" ht="12.75">
      <c r="Q3180"/>
    </row>
    <row r="3181" ht="12.75">
      <c r="Q3181"/>
    </row>
    <row r="3182" ht="12.75">
      <c r="Q3182"/>
    </row>
    <row r="3183" ht="12.75">
      <c r="Q3183"/>
    </row>
    <row r="3184" ht="12.75">
      <c r="Q3184"/>
    </row>
    <row r="3185" ht="12.75">
      <c r="Q3185"/>
    </row>
    <row r="3186" ht="12.75">
      <c r="Q3186"/>
    </row>
    <row r="3187" ht="12.75">
      <c r="Q3187"/>
    </row>
    <row r="3188" ht="12.75">
      <c r="Q3188"/>
    </row>
    <row r="3189" ht="12.75">
      <c r="Q3189"/>
    </row>
    <row r="3190" ht="12.75">
      <c r="Q3190"/>
    </row>
    <row r="3191" ht="12.75">
      <c r="Q3191"/>
    </row>
    <row r="3192" ht="12.75">
      <c r="Q3192"/>
    </row>
    <row r="3193" ht="12.75">
      <c r="Q3193"/>
    </row>
    <row r="3194" ht="12.75">
      <c r="Q3194"/>
    </row>
    <row r="3195" ht="12.75">
      <c r="Q3195"/>
    </row>
    <row r="3196" ht="12.75">
      <c r="Q3196"/>
    </row>
    <row r="3197" ht="12.75">
      <c r="Q3197"/>
    </row>
    <row r="3198" ht="12.75">
      <c r="Q3198"/>
    </row>
    <row r="3199" ht="12.75">
      <c r="Q3199"/>
    </row>
    <row r="3200" ht="12.75">
      <c r="Q3200"/>
    </row>
    <row r="3201" ht="12.75">
      <c r="Q3201"/>
    </row>
    <row r="3202" ht="12.75">
      <c r="Q3202"/>
    </row>
    <row r="3203" ht="12.75">
      <c r="Q3203"/>
    </row>
    <row r="3204" ht="12.75">
      <c r="Q3204"/>
    </row>
    <row r="3205" ht="12.75">
      <c r="Q3205"/>
    </row>
    <row r="3206" ht="12.75">
      <c r="Q3206"/>
    </row>
    <row r="3207" ht="12.75">
      <c r="Q3207"/>
    </row>
    <row r="3208" ht="12.75">
      <c r="Q3208"/>
    </row>
    <row r="3209" ht="12.75">
      <c r="Q3209"/>
    </row>
    <row r="3210" ht="12.75">
      <c r="Q3210"/>
    </row>
    <row r="3211" ht="12.75">
      <c r="Q3211"/>
    </row>
    <row r="3212" ht="12.75">
      <c r="Q3212"/>
    </row>
    <row r="3213" ht="12.75">
      <c r="Q3213"/>
    </row>
    <row r="3214" ht="12.75">
      <c r="Q3214"/>
    </row>
    <row r="3215" ht="12.75">
      <c r="Q3215"/>
    </row>
    <row r="3216" ht="12.75">
      <c r="Q3216"/>
    </row>
    <row r="3217" ht="12.75">
      <c r="Q3217"/>
    </row>
    <row r="3218" ht="12.75">
      <c r="Q3218"/>
    </row>
    <row r="3219" ht="12.75">
      <c r="Q3219"/>
    </row>
    <row r="3220" ht="12.75">
      <c r="Q3220"/>
    </row>
    <row r="3221" ht="12.75">
      <c r="Q3221"/>
    </row>
    <row r="3222" ht="12.75">
      <c r="Q3222"/>
    </row>
    <row r="3223" ht="12.75">
      <c r="Q3223"/>
    </row>
    <row r="3224" ht="12.75">
      <c r="Q3224"/>
    </row>
    <row r="3225" ht="12.75">
      <c r="Q3225"/>
    </row>
    <row r="3226" ht="12.75">
      <c r="Q3226"/>
    </row>
    <row r="3227" ht="12.75">
      <c r="Q3227"/>
    </row>
    <row r="3228" ht="12.75">
      <c r="Q3228"/>
    </row>
    <row r="3229" ht="12.75">
      <c r="Q3229"/>
    </row>
    <row r="3230" ht="12.75">
      <c r="Q3230"/>
    </row>
    <row r="3231" ht="12.75">
      <c r="Q3231"/>
    </row>
    <row r="3232" ht="12.75">
      <c r="Q3232"/>
    </row>
    <row r="3233" ht="12.75">
      <c r="Q3233"/>
    </row>
    <row r="3234" ht="12.75">
      <c r="Q3234"/>
    </row>
    <row r="3235" ht="12.75">
      <c r="Q3235"/>
    </row>
    <row r="3236" ht="12.75">
      <c r="Q3236"/>
    </row>
    <row r="3237" ht="12.75">
      <c r="Q3237"/>
    </row>
    <row r="3238" ht="12.75">
      <c r="Q3238"/>
    </row>
    <row r="3239" ht="12.75">
      <c r="Q3239"/>
    </row>
    <row r="3240" ht="12.75">
      <c r="Q3240"/>
    </row>
    <row r="3241" ht="12.75">
      <c r="Q3241"/>
    </row>
    <row r="3242" ht="12.75">
      <c r="Q3242"/>
    </row>
    <row r="3243" ht="12.75">
      <c r="Q3243"/>
    </row>
    <row r="3244" ht="12.75">
      <c r="Q3244"/>
    </row>
    <row r="3245" ht="12.75">
      <c r="Q3245"/>
    </row>
    <row r="3246" ht="12.75">
      <c r="Q3246"/>
    </row>
    <row r="3247" ht="12.75">
      <c r="Q3247"/>
    </row>
    <row r="3248" ht="12.75">
      <c r="Q3248"/>
    </row>
    <row r="3249" ht="12.75">
      <c r="Q3249"/>
    </row>
    <row r="3250" ht="12.75">
      <c r="Q3250"/>
    </row>
    <row r="3251" ht="12.75">
      <c r="Q3251"/>
    </row>
    <row r="3252" ht="12.75">
      <c r="Q3252"/>
    </row>
    <row r="3253" ht="12.75">
      <c r="Q3253"/>
    </row>
    <row r="3254" ht="12.75">
      <c r="Q3254"/>
    </row>
    <row r="3255" ht="12.75">
      <c r="Q3255"/>
    </row>
    <row r="3256" ht="12.75">
      <c r="Q3256"/>
    </row>
    <row r="3257" ht="12.75">
      <c r="Q3257"/>
    </row>
    <row r="3258" ht="12.75">
      <c r="Q3258"/>
    </row>
    <row r="3259" ht="12.75">
      <c r="Q3259"/>
    </row>
    <row r="3260" ht="12.75">
      <c r="Q3260"/>
    </row>
    <row r="3261" ht="12.75">
      <c r="Q3261"/>
    </row>
    <row r="3262" ht="12.75">
      <c r="Q3262"/>
    </row>
    <row r="3263" ht="12.75">
      <c r="Q3263"/>
    </row>
    <row r="3264" ht="12.75">
      <c r="Q3264"/>
    </row>
    <row r="3265" ht="12.75">
      <c r="Q3265"/>
    </row>
    <row r="3266" ht="12.75">
      <c r="Q3266"/>
    </row>
    <row r="3267" ht="12.75">
      <c r="Q3267"/>
    </row>
    <row r="3268" ht="12.75">
      <c r="Q3268"/>
    </row>
    <row r="3269" ht="12.75">
      <c r="Q3269"/>
    </row>
    <row r="3270" ht="12.75">
      <c r="Q3270"/>
    </row>
    <row r="3271" ht="12.75">
      <c r="Q3271"/>
    </row>
    <row r="3272" ht="12.75">
      <c r="Q3272"/>
    </row>
    <row r="3273" ht="12.75">
      <c r="Q3273"/>
    </row>
    <row r="3274" ht="12.75">
      <c r="Q3274"/>
    </row>
    <row r="3275" ht="12.75">
      <c r="Q3275"/>
    </row>
    <row r="3276" ht="12.75">
      <c r="Q3276"/>
    </row>
    <row r="3277" ht="12.75">
      <c r="Q3277"/>
    </row>
    <row r="3278" ht="12.75">
      <c r="Q3278"/>
    </row>
    <row r="3279" ht="12.75">
      <c r="Q3279"/>
    </row>
    <row r="3280" ht="12.75">
      <c r="Q3280"/>
    </row>
    <row r="3281" ht="12.75">
      <c r="Q3281"/>
    </row>
    <row r="3282" ht="12.75">
      <c r="Q3282"/>
    </row>
    <row r="3283" ht="12.75">
      <c r="Q3283"/>
    </row>
    <row r="3284" ht="12.75">
      <c r="Q3284"/>
    </row>
    <row r="3285" ht="12.75">
      <c r="Q3285"/>
    </row>
    <row r="3286" ht="12.75">
      <c r="Q3286"/>
    </row>
    <row r="3287" ht="12.75">
      <c r="Q3287"/>
    </row>
    <row r="3288" ht="12.75">
      <c r="Q3288"/>
    </row>
    <row r="3289" ht="12.75">
      <c r="Q3289"/>
    </row>
    <row r="3290" ht="12.75">
      <c r="Q3290"/>
    </row>
    <row r="3291" ht="12.75">
      <c r="Q3291"/>
    </row>
    <row r="3292" ht="12.75">
      <c r="Q3292"/>
    </row>
    <row r="3293" ht="12.75">
      <c r="Q3293"/>
    </row>
    <row r="3294" ht="12.75">
      <c r="Q3294"/>
    </row>
    <row r="3295" ht="12.75">
      <c r="Q3295"/>
    </row>
    <row r="3296" ht="12.75">
      <c r="Q3296"/>
    </row>
    <row r="3297" ht="12.75">
      <c r="Q3297"/>
    </row>
    <row r="3298" ht="12.75">
      <c r="Q3298"/>
    </row>
    <row r="3299" ht="12.75">
      <c r="Q3299"/>
    </row>
    <row r="3300" ht="12.75">
      <c r="Q3300"/>
    </row>
    <row r="3301" ht="12.75">
      <c r="Q3301"/>
    </row>
    <row r="3302" ht="12.75">
      <c r="Q3302"/>
    </row>
    <row r="3303" ht="12.75">
      <c r="Q3303"/>
    </row>
    <row r="3304" ht="12.75">
      <c r="Q3304"/>
    </row>
    <row r="3305" ht="12.75">
      <c r="Q3305"/>
    </row>
    <row r="3306" ht="12.75">
      <c r="Q3306"/>
    </row>
    <row r="3307" ht="12.75">
      <c r="Q3307"/>
    </row>
    <row r="3308" ht="12.75">
      <c r="Q3308"/>
    </row>
    <row r="3309" ht="12.75">
      <c r="Q3309"/>
    </row>
    <row r="3310" ht="12.75">
      <c r="Q3310"/>
    </row>
    <row r="3311" ht="12.75">
      <c r="Q3311"/>
    </row>
    <row r="3312" ht="12.75">
      <c r="Q3312"/>
    </row>
    <row r="3313" ht="12.75">
      <c r="Q3313"/>
    </row>
    <row r="3314" ht="12.75">
      <c r="Q3314"/>
    </row>
    <row r="3315" ht="12.75">
      <c r="Q3315"/>
    </row>
    <row r="3316" ht="12.75">
      <c r="Q3316"/>
    </row>
    <row r="3317" ht="12.75">
      <c r="Q3317"/>
    </row>
    <row r="3318" ht="12.75">
      <c r="Q3318"/>
    </row>
    <row r="3319" ht="12.75">
      <c r="Q3319"/>
    </row>
    <row r="3320" ht="12.75">
      <c r="Q3320"/>
    </row>
    <row r="3321" ht="12.75">
      <c r="Q3321"/>
    </row>
    <row r="3322" ht="12.75">
      <c r="Q3322"/>
    </row>
    <row r="3323" ht="12.75">
      <c r="Q3323"/>
    </row>
    <row r="3324" ht="12.75">
      <c r="Q3324"/>
    </row>
    <row r="3325" ht="12.75">
      <c r="Q3325"/>
    </row>
    <row r="3326" ht="12.75">
      <c r="Q3326"/>
    </row>
    <row r="3327" ht="12.75">
      <c r="Q3327"/>
    </row>
    <row r="3328" ht="12.75">
      <c r="Q3328"/>
    </row>
    <row r="3329" ht="12.75">
      <c r="Q3329"/>
    </row>
    <row r="3330" ht="12.75">
      <c r="Q3330"/>
    </row>
    <row r="3331" ht="12.75">
      <c r="Q3331"/>
    </row>
    <row r="3332" ht="12.75">
      <c r="Q3332"/>
    </row>
    <row r="3333" ht="12.75">
      <c r="Q3333"/>
    </row>
    <row r="3334" ht="12.75">
      <c r="Q3334"/>
    </row>
    <row r="3335" ht="12.75">
      <c r="Q3335"/>
    </row>
    <row r="3336" ht="12.75">
      <c r="Q3336"/>
    </row>
    <row r="3337" ht="12.75">
      <c r="Q3337"/>
    </row>
    <row r="3338" ht="12.75">
      <c r="Q3338"/>
    </row>
    <row r="3339" ht="12.75">
      <c r="Q3339"/>
    </row>
    <row r="3340" ht="12.75">
      <c r="Q3340"/>
    </row>
    <row r="3341" ht="12.75">
      <c r="Q3341"/>
    </row>
    <row r="3342" ht="12.75">
      <c r="Q3342"/>
    </row>
    <row r="3343" ht="12.75">
      <c r="Q3343"/>
    </row>
    <row r="3344" ht="12.75">
      <c r="Q3344"/>
    </row>
    <row r="3345" ht="12.75">
      <c r="Q3345"/>
    </row>
    <row r="3346" ht="12.75">
      <c r="Q3346"/>
    </row>
    <row r="3347" ht="12.75">
      <c r="Q3347"/>
    </row>
    <row r="3348" ht="12.75">
      <c r="Q3348"/>
    </row>
    <row r="3349" ht="12.75">
      <c r="Q3349"/>
    </row>
    <row r="3350" ht="12.75">
      <c r="Q3350"/>
    </row>
    <row r="3351" ht="12.75">
      <c r="Q3351"/>
    </row>
    <row r="3352" ht="12.75">
      <c r="Q3352"/>
    </row>
    <row r="3353" ht="12.75">
      <c r="Q3353"/>
    </row>
    <row r="3354" ht="12.75">
      <c r="Q3354"/>
    </row>
    <row r="3355" ht="12.75">
      <c r="Q3355"/>
    </row>
    <row r="3356" ht="12.75">
      <c r="Q3356"/>
    </row>
    <row r="3357" ht="12.75">
      <c r="Q3357"/>
    </row>
    <row r="3358" ht="12.75">
      <c r="Q3358"/>
    </row>
    <row r="3359" ht="12.75">
      <c r="Q3359"/>
    </row>
    <row r="3360" ht="12.75">
      <c r="Q3360"/>
    </row>
    <row r="3361" ht="12.75">
      <c r="Q3361"/>
    </row>
    <row r="3362" ht="12.75">
      <c r="Q3362"/>
    </row>
    <row r="3363" ht="12.75">
      <c r="Q3363"/>
    </row>
    <row r="3364" ht="12.75">
      <c r="Q3364"/>
    </row>
    <row r="3365" ht="12.75">
      <c r="Q3365"/>
    </row>
    <row r="3366" ht="12.75">
      <c r="Q3366"/>
    </row>
    <row r="3367" ht="12.75">
      <c r="Q3367"/>
    </row>
    <row r="3368" ht="12.75">
      <c r="Q3368"/>
    </row>
    <row r="3369" ht="12.75">
      <c r="Q3369"/>
    </row>
    <row r="3370" ht="12.75">
      <c r="Q3370"/>
    </row>
    <row r="3371" ht="12.75">
      <c r="Q3371"/>
    </row>
    <row r="3372" ht="12.75">
      <c r="Q3372"/>
    </row>
    <row r="3373" ht="12.75">
      <c r="Q3373"/>
    </row>
    <row r="3374" ht="12.75">
      <c r="Q3374"/>
    </row>
    <row r="3375" ht="12.75">
      <c r="Q3375"/>
    </row>
    <row r="3376" ht="12.75">
      <c r="Q3376"/>
    </row>
    <row r="3377" ht="12.75">
      <c r="Q3377"/>
    </row>
    <row r="3378" ht="12.75">
      <c r="Q3378"/>
    </row>
    <row r="3379" ht="12.75">
      <c r="Q3379"/>
    </row>
    <row r="3380" ht="12.75">
      <c r="Q3380"/>
    </row>
    <row r="3381" ht="12.75">
      <c r="Q3381"/>
    </row>
    <row r="3382" ht="12.75">
      <c r="Q3382"/>
    </row>
    <row r="3383" ht="12.75">
      <c r="Q3383"/>
    </row>
    <row r="3384" ht="12.75">
      <c r="Q3384"/>
    </row>
    <row r="3385" ht="12.75">
      <c r="Q3385"/>
    </row>
    <row r="3386" ht="12.75">
      <c r="Q3386"/>
    </row>
    <row r="3387" ht="12.75">
      <c r="Q3387"/>
    </row>
    <row r="3388" ht="12.75">
      <c r="Q3388"/>
    </row>
    <row r="3389" ht="12.75">
      <c r="Q3389"/>
    </row>
    <row r="3390" ht="12.75">
      <c r="Q3390"/>
    </row>
    <row r="3391" ht="12.75">
      <c r="Q3391"/>
    </row>
    <row r="3392" ht="12.75">
      <c r="Q3392"/>
    </row>
    <row r="3393" ht="12.75">
      <c r="Q3393"/>
    </row>
    <row r="3394" ht="12.75">
      <c r="Q3394"/>
    </row>
    <row r="3395" ht="12.75">
      <c r="Q3395"/>
    </row>
    <row r="3396" ht="12.75">
      <c r="Q3396"/>
    </row>
    <row r="3397" ht="12.75">
      <c r="Q3397"/>
    </row>
    <row r="3398" ht="12.75">
      <c r="Q3398"/>
    </row>
    <row r="3399" ht="12.75">
      <c r="Q3399"/>
    </row>
    <row r="3400" ht="12.75">
      <c r="Q3400"/>
    </row>
    <row r="3401" ht="12.75">
      <c r="Q3401"/>
    </row>
    <row r="3402" ht="12.75">
      <c r="Q3402"/>
    </row>
    <row r="3403" ht="12.75">
      <c r="Q3403"/>
    </row>
    <row r="3404" ht="12.75">
      <c r="Q3404"/>
    </row>
    <row r="3405" ht="12.75">
      <c r="Q3405"/>
    </row>
    <row r="3406" ht="12.75">
      <c r="Q3406"/>
    </row>
    <row r="3407" ht="12.75">
      <c r="Q3407"/>
    </row>
    <row r="3408" ht="12.75">
      <c r="Q3408"/>
    </row>
    <row r="3409" ht="12.75">
      <c r="Q3409"/>
    </row>
    <row r="3410" ht="12.75">
      <c r="Q3410"/>
    </row>
    <row r="3411" ht="12.75">
      <c r="Q3411"/>
    </row>
    <row r="3412" ht="12.75">
      <c r="Q3412"/>
    </row>
    <row r="3413" ht="12.75">
      <c r="Q3413"/>
    </row>
    <row r="3414" ht="12.75">
      <c r="Q3414"/>
    </row>
    <row r="3415" ht="12.75">
      <c r="Q3415"/>
    </row>
    <row r="3416" ht="12.75">
      <c r="Q3416"/>
    </row>
    <row r="3417" ht="12.75">
      <c r="Q3417"/>
    </row>
    <row r="3418" ht="12.75">
      <c r="Q3418"/>
    </row>
    <row r="3419" ht="12.75">
      <c r="Q3419"/>
    </row>
    <row r="3420" ht="12.75">
      <c r="Q3420"/>
    </row>
    <row r="3421" ht="12.75">
      <c r="Q3421"/>
    </row>
    <row r="3422" ht="12.75">
      <c r="Q3422"/>
    </row>
    <row r="3423" ht="12.75">
      <c r="Q3423"/>
    </row>
    <row r="3424" ht="12.75">
      <c r="Q3424"/>
    </row>
    <row r="3425" ht="12.75">
      <c r="Q3425"/>
    </row>
    <row r="3426" ht="12.75">
      <c r="Q3426"/>
    </row>
    <row r="3427" ht="12.75">
      <c r="Q3427"/>
    </row>
    <row r="3428" ht="12.75">
      <c r="Q3428"/>
    </row>
    <row r="3429" ht="12.75">
      <c r="Q3429"/>
    </row>
    <row r="3430" ht="12.75">
      <c r="Q3430"/>
    </row>
    <row r="3431" ht="12.75">
      <c r="Q3431"/>
    </row>
    <row r="3432" ht="12.75">
      <c r="Q3432"/>
    </row>
    <row r="3433" ht="12.75">
      <c r="Q3433"/>
    </row>
    <row r="3434" ht="12.75">
      <c r="Q3434"/>
    </row>
    <row r="3435" ht="12.75">
      <c r="Q3435"/>
    </row>
    <row r="3436" ht="12.75">
      <c r="Q3436"/>
    </row>
    <row r="3437" ht="12.75">
      <c r="Q3437"/>
    </row>
    <row r="3438" ht="12.75">
      <c r="Q3438"/>
    </row>
    <row r="3439" ht="12.75">
      <c r="Q3439"/>
    </row>
    <row r="3440" ht="12.75">
      <c r="Q3440"/>
    </row>
    <row r="3441" ht="12.75">
      <c r="Q3441"/>
    </row>
    <row r="3442" ht="12.75">
      <c r="Q3442"/>
    </row>
    <row r="3443" ht="12.75">
      <c r="Q3443"/>
    </row>
    <row r="3444" ht="12.75">
      <c r="Q3444"/>
    </row>
    <row r="3445" ht="12.75">
      <c r="Q3445"/>
    </row>
    <row r="3446" ht="12.75">
      <c r="Q3446"/>
    </row>
    <row r="3447" ht="12.75">
      <c r="Q3447"/>
    </row>
    <row r="3448" ht="12.75">
      <c r="Q3448"/>
    </row>
    <row r="3449" ht="12.75">
      <c r="Q3449"/>
    </row>
    <row r="3450" ht="12.75">
      <c r="Q3450"/>
    </row>
    <row r="3451" ht="12.75">
      <c r="Q3451"/>
    </row>
    <row r="3452" ht="12.75">
      <c r="Q3452"/>
    </row>
    <row r="3453" ht="12.75">
      <c r="Q3453"/>
    </row>
    <row r="3454" ht="12.75">
      <c r="Q3454"/>
    </row>
    <row r="3455" ht="12.75">
      <c r="Q3455"/>
    </row>
    <row r="3456" ht="12.75">
      <c r="Q3456"/>
    </row>
    <row r="3457" ht="12.75">
      <c r="Q3457"/>
    </row>
    <row r="3458" ht="12.75">
      <c r="Q3458"/>
    </row>
    <row r="3459" ht="12.75">
      <c r="Q3459"/>
    </row>
    <row r="3460" ht="12.75">
      <c r="Q3460"/>
    </row>
    <row r="3461" ht="12.75">
      <c r="Q3461"/>
    </row>
    <row r="3462" ht="12.75">
      <c r="Q3462"/>
    </row>
    <row r="3463" ht="12.75">
      <c r="Q3463"/>
    </row>
    <row r="3464" ht="12.75">
      <c r="Q3464"/>
    </row>
    <row r="3465" ht="12.75">
      <c r="Q3465"/>
    </row>
    <row r="3466" ht="12.75">
      <c r="Q3466"/>
    </row>
    <row r="3467" ht="12.75">
      <c r="Q3467"/>
    </row>
    <row r="3468" ht="12.75">
      <c r="Q3468"/>
    </row>
    <row r="3469" ht="12.75">
      <c r="Q3469"/>
    </row>
    <row r="3470" ht="12.75">
      <c r="Q3470"/>
    </row>
    <row r="3471" ht="12.75">
      <c r="Q3471"/>
    </row>
    <row r="3472" ht="12.75">
      <c r="Q3472"/>
    </row>
    <row r="3473" ht="12.75">
      <c r="Q3473"/>
    </row>
    <row r="3474" ht="12.75">
      <c r="Q3474"/>
    </row>
    <row r="3475" ht="12.75">
      <c r="Q3475"/>
    </row>
    <row r="3476" ht="12.75">
      <c r="Q3476"/>
    </row>
    <row r="3477" ht="12.75">
      <c r="Q3477"/>
    </row>
    <row r="3478" ht="12.75">
      <c r="Q3478"/>
    </row>
    <row r="3479" ht="12.75">
      <c r="Q3479"/>
    </row>
    <row r="3480" ht="12.75">
      <c r="Q3480"/>
    </row>
    <row r="3481" ht="12.75">
      <c r="Q3481"/>
    </row>
    <row r="3482" ht="12.75">
      <c r="Q3482"/>
    </row>
    <row r="3483" ht="12.75">
      <c r="Q3483"/>
    </row>
    <row r="3484" ht="12.75">
      <c r="Q3484"/>
    </row>
    <row r="3485" ht="12.75">
      <c r="Q3485"/>
    </row>
    <row r="3486" ht="12.75">
      <c r="Q3486"/>
    </row>
    <row r="3487" ht="12.75">
      <c r="Q3487"/>
    </row>
    <row r="3488" ht="12.75">
      <c r="Q3488"/>
    </row>
    <row r="3489" ht="12.75">
      <c r="Q3489"/>
    </row>
    <row r="3490" ht="12.75">
      <c r="Q3490"/>
    </row>
    <row r="3491" ht="12.75">
      <c r="Q3491"/>
    </row>
    <row r="3492" ht="12.75">
      <c r="Q3492"/>
    </row>
    <row r="3493" ht="12.75">
      <c r="Q3493"/>
    </row>
    <row r="3494" ht="12.75">
      <c r="Q3494"/>
    </row>
    <row r="3495" ht="12.75">
      <c r="Q3495"/>
    </row>
    <row r="3496" ht="12.75">
      <c r="Q3496"/>
    </row>
    <row r="3497" ht="12.75">
      <c r="Q3497"/>
    </row>
    <row r="3498" ht="12.75">
      <c r="Q3498"/>
    </row>
    <row r="3499" ht="12.75">
      <c r="Q3499"/>
    </row>
    <row r="3500" ht="12.75">
      <c r="Q3500"/>
    </row>
    <row r="3501" ht="12.75">
      <c r="Q3501"/>
    </row>
    <row r="3502" ht="12.75">
      <c r="Q3502"/>
    </row>
    <row r="3503" ht="12.75">
      <c r="Q3503"/>
    </row>
    <row r="3504" ht="12.75">
      <c r="Q3504"/>
    </row>
    <row r="3505" ht="12.75">
      <c r="Q3505"/>
    </row>
    <row r="3506" ht="12.75">
      <c r="Q3506"/>
    </row>
    <row r="3507" ht="12.75">
      <c r="Q3507"/>
    </row>
    <row r="3508" ht="12.75">
      <c r="Q3508"/>
    </row>
    <row r="3509" ht="12.75">
      <c r="Q3509"/>
    </row>
    <row r="3510" ht="12.75">
      <c r="Q3510"/>
    </row>
    <row r="3511" ht="12.75">
      <c r="Q3511"/>
    </row>
    <row r="3512" ht="12.75">
      <c r="Q3512"/>
    </row>
    <row r="3513" ht="12.75">
      <c r="Q3513"/>
    </row>
    <row r="3514" ht="12.75">
      <c r="Q3514"/>
    </row>
    <row r="3515" ht="12.75">
      <c r="Q3515"/>
    </row>
    <row r="3516" ht="12.75">
      <c r="Q3516"/>
    </row>
    <row r="3517" ht="12.75">
      <c r="Q3517"/>
    </row>
    <row r="3518" ht="12.75">
      <c r="Q3518"/>
    </row>
    <row r="3519" ht="12.75">
      <c r="Q3519"/>
    </row>
    <row r="3520" ht="12.75">
      <c r="Q3520"/>
    </row>
    <row r="3521" ht="12.75">
      <c r="Q3521"/>
    </row>
    <row r="3522" ht="12.75">
      <c r="Q3522"/>
    </row>
    <row r="3523" ht="12.75">
      <c r="Q3523"/>
    </row>
    <row r="3524" ht="12.75">
      <c r="Q3524"/>
    </row>
    <row r="3525" ht="12.75">
      <c r="Q3525"/>
    </row>
    <row r="3526" ht="12.75">
      <c r="Q3526"/>
    </row>
    <row r="3527" ht="12.75">
      <c r="Q3527"/>
    </row>
    <row r="3528" ht="12.75">
      <c r="Q3528"/>
    </row>
    <row r="3529" ht="12.75">
      <c r="Q3529"/>
    </row>
    <row r="3530" ht="12.75">
      <c r="Q3530"/>
    </row>
    <row r="3531" ht="12.75">
      <c r="Q3531"/>
    </row>
    <row r="3532" ht="12.75">
      <c r="Q3532"/>
    </row>
    <row r="3533" ht="12.75">
      <c r="Q3533"/>
    </row>
    <row r="3534" ht="12.75">
      <c r="Q3534"/>
    </row>
    <row r="3535" ht="12.75">
      <c r="Q3535"/>
    </row>
    <row r="3536" ht="12.75">
      <c r="Q3536"/>
    </row>
    <row r="3537" ht="12.75">
      <c r="Q3537"/>
    </row>
    <row r="3538" ht="12.75">
      <c r="Q3538"/>
    </row>
    <row r="3539" ht="12.75">
      <c r="Q3539"/>
    </row>
    <row r="3540" ht="12.75">
      <c r="Q3540"/>
    </row>
    <row r="3541" ht="12.75">
      <c r="Q3541"/>
    </row>
    <row r="3542" ht="12.75">
      <c r="Q3542"/>
    </row>
    <row r="3543" ht="12.75">
      <c r="Q3543"/>
    </row>
    <row r="3544" ht="12.75">
      <c r="Q3544"/>
    </row>
    <row r="3545" ht="12.75">
      <c r="Q3545"/>
    </row>
    <row r="3546" ht="12.75">
      <c r="Q3546"/>
    </row>
    <row r="3547" ht="12.75">
      <c r="Q3547"/>
    </row>
    <row r="3548" ht="12.75">
      <c r="Q3548"/>
    </row>
    <row r="3549" ht="12.75">
      <c r="Q3549"/>
    </row>
    <row r="3550" ht="12.75">
      <c r="Q3550"/>
    </row>
    <row r="3551" ht="12.75">
      <c r="Q3551"/>
    </row>
    <row r="3552" ht="12.75">
      <c r="Q3552"/>
    </row>
    <row r="3553" ht="12.75">
      <c r="Q3553"/>
    </row>
    <row r="3554" ht="12.75">
      <c r="Q3554"/>
    </row>
    <row r="3555" ht="12.75">
      <c r="Q3555"/>
    </row>
    <row r="3556" ht="12.75">
      <c r="Q3556"/>
    </row>
    <row r="3557" ht="12.75">
      <c r="Q3557"/>
    </row>
    <row r="3558" ht="12.75">
      <c r="Q3558"/>
    </row>
    <row r="3559" ht="12.75">
      <c r="Q3559"/>
    </row>
    <row r="3560" ht="12.75">
      <c r="Q3560"/>
    </row>
    <row r="3561" ht="12.75">
      <c r="Q3561"/>
    </row>
    <row r="3562" ht="12.75">
      <c r="Q3562"/>
    </row>
    <row r="3563" ht="12.75">
      <c r="Q3563"/>
    </row>
    <row r="3564" ht="12.75">
      <c r="Q3564"/>
    </row>
    <row r="3565" ht="12.75">
      <c r="Q3565"/>
    </row>
    <row r="3566" ht="12.75">
      <c r="Q3566"/>
    </row>
    <row r="3567" ht="12.75">
      <c r="Q3567"/>
    </row>
    <row r="3568" ht="12.75">
      <c r="Q3568"/>
    </row>
    <row r="3569" ht="12.75">
      <c r="Q3569"/>
    </row>
    <row r="3570" ht="12.75">
      <c r="Q3570"/>
    </row>
    <row r="3571" ht="12.75">
      <c r="Q3571"/>
    </row>
    <row r="3572" ht="12.75">
      <c r="Q3572"/>
    </row>
    <row r="3573" ht="12.75">
      <c r="Q3573"/>
    </row>
    <row r="3574" ht="12.75">
      <c r="Q3574"/>
    </row>
    <row r="3575" ht="12.75">
      <c r="Q3575"/>
    </row>
    <row r="3576" ht="12.75">
      <c r="Q3576"/>
    </row>
    <row r="3577" ht="12.75">
      <c r="Q3577"/>
    </row>
    <row r="3578" ht="12.75">
      <c r="Q3578"/>
    </row>
    <row r="3579" ht="12.75">
      <c r="Q3579"/>
    </row>
    <row r="3580" ht="12.75">
      <c r="Q3580"/>
    </row>
    <row r="3581" ht="12.75">
      <c r="Q3581"/>
    </row>
    <row r="3582" ht="12.75">
      <c r="Q3582"/>
    </row>
    <row r="3583" ht="12.75">
      <c r="Q3583"/>
    </row>
    <row r="3584" ht="12.75">
      <c r="Q3584"/>
    </row>
    <row r="3585" ht="12.75">
      <c r="Q3585"/>
    </row>
    <row r="3586" ht="12.75">
      <c r="Q3586"/>
    </row>
    <row r="3587" ht="12.75">
      <c r="Q3587"/>
    </row>
    <row r="3588" ht="12.75">
      <c r="Q3588"/>
    </row>
    <row r="3589" ht="12.75">
      <c r="Q3589"/>
    </row>
    <row r="3590" ht="12.75">
      <c r="Q3590"/>
    </row>
    <row r="3591" ht="12.75">
      <c r="Q3591"/>
    </row>
    <row r="3592" ht="12.75">
      <c r="Q3592"/>
    </row>
    <row r="3593" ht="12.75">
      <c r="Q3593"/>
    </row>
    <row r="3594" ht="12.75">
      <c r="Q3594"/>
    </row>
    <row r="3595" ht="12.75">
      <c r="Q3595"/>
    </row>
    <row r="3596" ht="12.75">
      <c r="Q3596"/>
    </row>
    <row r="3597" ht="12.75">
      <c r="Q3597"/>
    </row>
    <row r="3598" ht="12.75">
      <c r="Q3598"/>
    </row>
    <row r="3599" ht="12.75">
      <c r="Q3599"/>
    </row>
    <row r="3600" ht="12.75">
      <c r="Q3600"/>
    </row>
    <row r="3601" ht="12.75">
      <c r="Q3601"/>
    </row>
    <row r="3602" ht="12.75">
      <c r="Q3602"/>
    </row>
    <row r="3603" ht="12.75">
      <c r="Q3603"/>
    </row>
    <row r="3604" ht="12.75">
      <c r="Q3604"/>
    </row>
    <row r="3605" ht="12.75">
      <c r="Q3605"/>
    </row>
    <row r="3606" ht="12.75">
      <c r="Q3606"/>
    </row>
    <row r="3607" ht="12.75">
      <c r="Q3607"/>
    </row>
    <row r="3608" ht="12.75">
      <c r="Q3608"/>
    </row>
    <row r="3609" ht="12.75">
      <c r="Q3609"/>
    </row>
    <row r="3610" ht="12.75">
      <c r="Q3610"/>
    </row>
    <row r="3611" ht="12.75">
      <c r="Q3611"/>
    </row>
    <row r="3612" ht="12.75">
      <c r="Q3612"/>
    </row>
    <row r="3613" ht="12.75">
      <c r="Q3613"/>
    </row>
    <row r="3614" ht="12.75">
      <c r="Q3614"/>
    </row>
    <row r="3615" ht="12.75">
      <c r="Q3615"/>
    </row>
    <row r="3616" ht="12.75">
      <c r="Q3616"/>
    </row>
    <row r="3617" ht="12.75">
      <c r="Q3617"/>
    </row>
    <row r="3618" ht="12.75">
      <c r="Q3618"/>
    </row>
    <row r="3619" ht="12.75">
      <c r="Q3619"/>
    </row>
    <row r="3620" ht="12.75">
      <c r="Q3620"/>
    </row>
    <row r="3621" ht="12.75">
      <c r="Q3621"/>
    </row>
    <row r="3622" ht="12.75">
      <c r="Q3622"/>
    </row>
    <row r="3623" ht="12.75">
      <c r="Q3623"/>
    </row>
    <row r="3624" ht="12.75">
      <c r="Q3624"/>
    </row>
    <row r="3625" ht="12.75">
      <c r="Q3625"/>
    </row>
    <row r="3626" ht="12.75">
      <c r="Q3626"/>
    </row>
    <row r="3627" ht="12.75">
      <c r="Q3627"/>
    </row>
    <row r="3628" ht="12.75">
      <c r="Q3628"/>
    </row>
    <row r="3629" ht="12.75">
      <c r="Q3629"/>
    </row>
    <row r="3630" ht="12.75">
      <c r="Q3630"/>
    </row>
    <row r="3631" ht="12.75">
      <c r="Q3631"/>
    </row>
    <row r="3632" ht="12.75">
      <c r="Q3632"/>
    </row>
    <row r="3633" ht="12.75">
      <c r="Q3633"/>
    </row>
    <row r="3634" ht="12.75">
      <c r="Q3634"/>
    </row>
    <row r="3635" ht="12.75">
      <c r="Q3635"/>
    </row>
    <row r="3636" ht="12.75">
      <c r="Q3636"/>
    </row>
    <row r="3637" ht="12.75">
      <c r="Q3637"/>
    </row>
    <row r="3638" ht="12.75">
      <c r="Q3638"/>
    </row>
    <row r="3639" ht="12.75">
      <c r="Q3639"/>
    </row>
    <row r="3640" ht="12.75">
      <c r="Q3640"/>
    </row>
    <row r="3641" ht="12.75">
      <c r="Q3641"/>
    </row>
    <row r="3642" ht="12.75">
      <c r="Q3642"/>
    </row>
    <row r="3643" ht="12.75">
      <c r="Q3643"/>
    </row>
    <row r="3644" ht="12.75">
      <c r="Q3644"/>
    </row>
    <row r="3645" ht="12.75">
      <c r="Q3645"/>
    </row>
    <row r="3646" ht="12.75">
      <c r="Q3646"/>
    </row>
    <row r="3647" ht="12.75">
      <c r="Q3647"/>
    </row>
    <row r="3648" ht="12.75">
      <c r="Q3648"/>
    </row>
    <row r="3649" ht="12.75">
      <c r="Q3649"/>
    </row>
    <row r="3650" ht="12.75">
      <c r="Q3650"/>
    </row>
    <row r="3651" ht="12.75">
      <c r="Q3651"/>
    </row>
    <row r="3652" ht="12.75">
      <c r="Q3652"/>
    </row>
    <row r="3653" ht="12.75">
      <c r="Q3653"/>
    </row>
    <row r="3654" ht="12.75">
      <c r="Q3654"/>
    </row>
    <row r="3655" ht="12.75">
      <c r="Q3655"/>
    </row>
    <row r="3656" ht="12.75">
      <c r="Q3656"/>
    </row>
    <row r="3657" ht="12.75">
      <c r="Q3657"/>
    </row>
    <row r="3658" ht="12.75">
      <c r="Q3658"/>
    </row>
    <row r="3659" ht="12.75">
      <c r="Q3659"/>
    </row>
    <row r="3660" ht="12.75">
      <c r="Q3660"/>
    </row>
    <row r="3661" ht="12.75">
      <c r="Q3661"/>
    </row>
    <row r="3662" ht="12.75">
      <c r="Q3662"/>
    </row>
    <row r="3663" ht="12.75">
      <c r="Q3663"/>
    </row>
    <row r="3664" ht="12.75">
      <c r="Q3664"/>
    </row>
    <row r="3665" ht="12.75">
      <c r="Q3665"/>
    </row>
    <row r="3666" ht="12.75">
      <c r="Q3666"/>
    </row>
    <row r="3667" ht="12.75">
      <c r="Q3667"/>
    </row>
    <row r="3668" ht="12.75">
      <c r="Q3668"/>
    </row>
    <row r="3669" ht="12.75">
      <c r="Q3669"/>
    </row>
    <row r="3670" ht="12.75">
      <c r="Q3670"/>
    </row>
    <row r="3671" ht="12.75">
      <c r="Q3671"/>
    </row>
    <row r="3672" ht="12.75">
      <c r="Q3672"/>
    </row>
    <row r="3673" ht="12.75">
      <c r="Q3673"/>
    </row>
    <row r="3674" ht="12.75">
      <c r="Q3674"/>
    </row>
    <row r="3675" ht="12.75">
      <c r="Q3675"/>
    </row>
    <row r="3676" ht="12.75">
      <c r="Q3676"/>
    </row>
    <row r="3677" ht="12.75">
      <c r="Q3677"/>
    </row>
    <row r="3678" ht="12.75">
      <c r="Q3678"/>
    </row>
    <row r="3679" ht="12.75">
      <c r="Q3679"/>
    </row>
    <row r="3680" ht="12.75">
      <c r="Q3680"/>
    </row>
    <row r="3681" ht="12.75">
      <c r="Q3681"/>
    </row>
    <row r="3682" ht="12.75">
      <c r="Q3682"/>
    </row>
    <row r="3683" ht="12.75">
      <c r="Q3683"/>
    </row>
    <row r="3684" ht="12.75">
      <c r="Q3684"/>
    </row>
    <row r="3685" ht="12.75">
      <c r="Q3685"/>
    </row>
    <row r="3686" ht="12.75">
      <c r="Q3686"/>
    </row>
    <row r="3687" ht="12.75">
      <c r="Q3687"/>
    </row>
    <row r="3688" ht="12.75">
      <c r="Q3688"/>
    </row>
    <row r="3689" ht="12.75">
      <c r="Q3689"/>
    </row>
    <row r="3690" ht="12.75">
      <c r="Q3690"/>
    </row>
    <row r="3691" ht="12.75">
      <c r="Q3691"/>
    </row>
    <row r="3692" ht="12.75">
      <c r="Q3692"/>
    </row>
    <row r="3693" ht="12.75">
      <c r="Q3693"/>
    </row>
    <row r="3694" ht="12.75">
      <c r="Q3694"/>
    </row>
    <row r="3695" ht="12.75">
      <c r="Q3695"/>
    </row>
    <row r="3696" ht="12.75">
      <c r="Q3696"/>
    </row>
    <row r="3697" ht="12.75">
      <c r="Q3697"/>
    </row>
    <row r="3698" ht="12.75">
      <c r="Q3698"/>
    </row>
    <row r="3699" ht="12.75">
      <c r="Q3699"/>
    </row>
    <row r="3700" ht="12.75">
      <c r="Q3700"/>
    </row>
    <row r="3701" ht="12.75">
      <c r="Q3701"/>
    </row>
    <row r="3702" ht="12.75">
      <c r="Q3702"/>
    </row>
    <row r="3703" ht="12.75">
      <c r="Q3703"/>
    </row>
    <row r="3704" ht="12.75">
      <c r="Q3704"/>
    </row>
    <row r="3705" ht="12.75">
      <c r="Q3705"/>
    </row>
    <row r="3706" ht="12.75">
      <c r="Q3706"/>
    </row>
    <row r="3707" ht="12.75">
      <c r="Q3707"/>
    </row>
    <row r="3708" ht="12.75">
      <c r="Q3708"/>
    </row>
    <row r="3709" ht="12.75">
      <c r="Q3709"/>
    </row>
    <row r="3710" ht="12.75">
      <c r="Q3710"/>
    </row>
    <row r="3711" ht="12.75">
      <c r="Q3711"/>
    </row>
    <row r="3712" ht="12.75">
      <c r="Q3712"/>
    </row>
    <row r="3713" ht="12.75">
      <c r="Q3713"/>
    </row>
    <row r="3714" ht="12.75">
      <c r="Q3714"/>
    </row>
    <row r="3715" ht="12.75">
      <c r="Q3715"/>
    </row>
    <row r="3716" ht="12.75">
      <c r="Q3716"/>
    </row>
    <row r="3717" ht="12.75">
      <c r="Q3717"/>
    </row>
    <row r="3718" ht="12.75">
      <c r="Q3718"/>
    </row>
    <row r="3719" ht="12.75">
      <c r="Q3719"/>
    </row>
    <row r="3720" ht="12.75">
      <c r="Q3720"/>
    </row>
    <row r="3721" ht="12.75">
      <c r="Q3721"/>
    </row>
    <row r="3722" ht="12.75">
      <c r="Q3722"/>
    </row>
    <row r="3723" ht="12.75">
      <c r="Q3723"/>
    </row>
    <row r="3724" ht="12.75">
      <c r="Q3724"/>
    </row>
    <row r="3725" ht="12.75">
      <c r="Q3725"/>
    </row>
    <row r="3726" ht="12.75">
      <c r="Q3726"/>
    </row>
    <row r="3727" ht="12.75">
      <c r="Q3727"/>
    </row>
    <row r="3728" ht="12.75">
      <c r="Q3728"/>
    </row>
    <row r="3729" ht="12.75">
      <c r="Q3729"/>
    </row>
    <row r="3730" ht="12.75">
      <c r="Q3730"/>
    </row>
    <row r="3731" ht="12.75">
      <c r="Q3731"/>
    </row>
    <row r="3732" ht="12.75">
      <c r="Q3732"/>
    </row>
    <row r="3733" ht="12.75">
      <c r="Q3733"/>
    </row>
    <row r="3734" ht="12.75">
      <c r="Q3734"/>
    </row>
    <row r="3735" ht="12.75">
      <c r="Q3735"/>
    </row>
    <row r="3736" ht="12.75">
      <c r="Q3736"/>
    </row>
    <row r="3737" ht="12.75">
      <c r="Q3737"/>
    </row>
    <row r="3738" ht="12.75">
      <c r="Q3738"/>
    </row>
    <row r="3739" ht="12.75">
      <c r="Q3739"/>
    </row>
    <row r="3740" ht="12.75">
      <c r="Q3740"/>
    </row>
    <row r="3741" ht="12.75">
      <c r="Q3741"/>
    </row>
    <row r="3742" ht="12.75">
      <c r="Q3742"/>
    </row>
    <row r="3743" ht="12.75">
      <c r="Q3743"/>
    </row>
    <row r="3744" ht="12.75">
      <c r="Q3744"/>
    </row>
    <row r="3745" ht="12.75">
      <c r="Q3745"/>
    </row>
    <row r="3746" ht="12.75">
      <c r="Q3746"/>
    </row>
    <row r="3747" ht="12.75">
      <c r="Q3747"/>
    </row>
    <row r="3748" ht="12.75">
      <c r="Q3748"/>
    </row>
    <row r="3749" ht="12.75">
      <c r="Q3749"/>
    </row>
    <row r="3750" ht="12.75">
      <c r="Q3750"/>
    </row>
    <row r="3751" ht="12.75">
      <c r="Q3751"/>
    </row>
    <row r="3752" ht="12.75">
      <c r="Q3752"/>
    </row>
    <row r="3753" ht="12.75">
      <c r="Q3753"/>
    </row>
    <row r="3754" ht="12.75">
      <c r="Q3754"/>
    </row>
    <row r="3755" ht="12.75">
      <c r="Q3755"/>
    </row>
    <row r="3756" ht="12.75">
      <c r="Q3756"/>
    </row>
    <row r="3757" ht="12.75">
      <c r="Q3757"/>
    </row>
    <row r="3758" ht="12.75">
      <c r="Q3758"/>
    </row>
    <row r="3759" ht="12.75">
      <c r="Q3759"/>
    </row>
    <row r="3760" ht="12.75">
      <c r="Q3760"/>
    </row>
    <row r="3761" ht="12.75">
      <c r="Q3761"/>
    </row>
    <row r="3762" ht="12.75">
      <c r="Q3762"/>
    </row>
    <row r="3763" ht="12.75">
      <c r="Q3763"/>
    </row>
    <row r="3764" ht="12.75">
      <c r="Q3764"/>
    </row>
    <row r="3765" ht="12.75">
      <c r="Q3765"/>
    </row>
    <row r="3766" ht="12.75">
      <c r="Q3766"/>
    </row>
    <row r="3767" ht="12.75">
      <c r="Q3767"/>
    </row>
    <row r="3768" ht="12.75">
      <c r="Q3768"/>
    </row>
    <row r="3769" ht="12.75">
      <c r="Q3769"/>
    </row>
    <row r="3770" ht="12.75">
      <c r="Q3770"/>
    </row>
    <row r="3771" ht="12.75">
      <c r="Q3771"/>
    </row>
    <row r="3772" ht="12.75">
      <c r="Q3772"/>
    </row>
    <row r="3773" ht="12.75">
      <c r="Q3773"/>
    </row>
    <row r="3774" ht="12.75">
      <c r="Q3774"/>
    </row>
    <row r="3775" ht="12.75">
      <c r="Q3775"/>
    </row>
    <row r="3776" ht="12.75">
      <c r="Q3776"/>
    </row>
    <row r="3777" ht="12.75">
      <c r="Q3777"/>
    </row>
    <row r="3778" ht="12.75">
      <c r="Q3778"/>
    </row>
    <row r="3779" ht="12.75">
      <c r="Q3779"/>
    </row>
    <row r="3780" ht="12.75">
      <c r="Q3780"/>
    </row>
    <row r="3781" ht="12.75">
      <c r="Q3781"/>
    </row>
    <row r="3782" ht="12.75">
      <c r="Q3782"/>
    </row>
    <row r="3783" ht="12.75">
      <c r="Q3783"/>
    </row>
    <row r="3784" ht="12.75">
      <c r="Q3784"/>
    </row>
    <row r="3785" ht="12.75">
      <c r="Q3785"/>
    </row>
    <row r="3786" ht="12.75">
      <c r="Q3786"/>
    </row>
    <row r="3787" ht="12.75">
      <c r="Q3787"/>
    </row>
    <row r="3788" ht="12.75">
      <c r="Q3788"/>
    </row>
    <row r="3789" ht="12.75">
      <c r="Q3789"/>
    </row>
    <row r="3790" ht="12.75">
      <c r="Q3790"/>
    </row>
    <row r="3791" ht="12.75">
      <c r="Q3791"/>
    </row>
    <row r="3792" ht="12.75">
      <c r="Q3792"/>
    </row>
    <row r="3793" ht="12.75">
      <c r="Q3793"/>
    </row>
    <row r="3794" ht="12.75">
      <c r="Q3794"/>
    </row>
    <row r="3795" ht="12.75">
      <c r="Q3795"/>
    </row>
    <row r="3796" ht="12.75">
      <c r="Q3796"/>
    </row>
    <row r="3797" ht="12.75">
      <c r="Q3797"/>
    </row>
    <row r="3798" ht="12.75">
      <c r="Q3798"/>
    </row>
    <row r="3799" ht="12.75">
      <c r="Q3799"/>
    </row>
    <row r="3800" ht="12.75">
      <c r="Q3800"/>
    </row>
    <row r="3801" ht="12.75">
      <c r="Q3801"/>
    </row>
    <row r="3802" ht="12.75">
      <c r="Q3802"/>
    </row>
    <row r="3803" ht="12.75">
      <c r="Q3803"/>
    </row>
    <row r="3804" ht="12.75">
      <c r="Q3804"/>
    </row>
    <row r="3805" ht="12.75">
      <c r="Q3805"/>
    </row>
    <row r="3806" ht="12.75">
      <c r="Q3806"/>
    </row>
    <row r="3807" ht="12.75">
      <c r="Q3807"/>
    </row>
    <row r="3808" ht="12.75">
      <c r="Q3808"/>
    </row>
    <row r="3809" ht="12.75">
      <c r="Q3809"/>
    </row>
    <row r="3810" ht="12.75">
      <c r="Q3810"/>
    </row>
    <row r="3811" ht="12.75">
      <c r="Q3811"/>
    </row>
    <row r="3812" ht="12.75">
      <c r="Q3812"/>
    </row>
    <row r="3813" ht="12.75">
      <c r="Q3813"/>
    </row>
    <row r="3814" ht="12.75">
      <c r="Q3814"/>
    </row>
    <row r="3815" ht="12.75">
      <c r="Q3815"/>
    </row>
    <row r="3816" ht="12.75">
      <c r="Q3816"/>
    </row>
    <row r="3817" ht="12.75">
      <c r="Q3817"/>
    </row>
    <row r="3818" ht="12.75">
      <c r="Q3818"/>
    </row>
    <row r="3819" ht="12.75">
      <c r="Q3819"/>
    </row>
    <row r="3820" ht="12.75">
      <c r="Q3820"/>
    </row>
    <row r="3821" ht="12.75">
      <c r="Q3821"/>
    </row>
    <row r="3822" ht="12.75">
      <c r="Q3822"/>
    </row>
    <row r="3823" ht="12.75">
      <c r="Q3823"/>
    </row>
    <row r="3824" ht="12.75">
      <c r="Q3824"/>
    </row>
    <row r="3825" ht="12.75">
      <c r="Q3825"/>
    </row>
    <row r="3826" ht="12.75">
      <c r="Q3826"/>
    </row>
    <row r="3827" ht="12.75">
      <c r="Q3827"/>
    </row>
    <row r="3828" ht="12.75">
      <c r="Q3828"/>
    </row>
    <row r="3829" ht="12.75">
      <c r="Q3829"/>
    </row>
    <row r="3830" ht="12.75">
      <c r="Q3830"/>
    </row>
    <row r="3831" ht="12.75">
      <c r="Q3831"/>
    </row>
    <row r="3832" ht="12.75">
      <c r="Q3832"/>
    </row>
    <row r="3833" ht="12.75">
      <c r="Q3833"/>
    </row>
    <row r="3834" ht="12.75">
      <c r="Q3834"/>
    </row>
    <row r="3835" ht="12.75">
      <c r="Q3835"/>
    </row>
    <row r="3836" ht="12.75">
      <c r="Q3836"/>
    </row>
    <row r="3837" ht="12.75">
      <c r="Q3837"/>
    </row>
    <row r="3838" ht="12.75">
      <c r="Q3838"/>
    </row>
    <row r="3839" ht="12.75">
      <c r="Q3839"/>
    </row>
    <row r="3840" ht="12.75">
      <c r="Q3840"/>
    </row>
    <row r="3841" ht="12.75">
      <c r="Q3841"/>
    </row>
    <row r="3842" ht="12.75">
      <c r="Q3842"/>
    </row>
    <row r="3843" ht="12.75">
      <c r="Q3843"/>
    </row>
    <row r="3844" ht="12.75">
      <c r="Q3844"/>
    </row>
    <row r="3845" ht="12.75">
      <c r="Q3845"/>
    </row>
    <row r="3846" ht="12.75">
      <c r="Q3846"/>
    </row>
    <row r="3847" ht="12.75">
      <c r="Q3847"/>
    </row>
    <row r="3848" ht="12.75">
      <c r="Q3848"/>
    </row>
    <row r="3849" ht="12.75">
      <c r="Q3849"/>
    </row>
    <row r="3850" ht="12.75">
      <c r="Q3850"/>
    </row>
    <row r="3851" ht="12.75">
      <c r="Q3851"/>
    </row>
    <row r="3852" ht="12.75">
      <c r="Q3852"/>
    </row>
    <row r="3853" ht="12.75">
      <c r="Q3853"/>
    </row>
    <row r="3854" ht="12.75">
      <c r="Q3854"/>
    </row>
    <row r="3855" ht="12.75">
      <c r="Q3855"/>
    </row>
    <row r="3856" ht="12.75">
      <c r="Q3856"/>
    </row>
    <row r="3857" ht="12.75">
      <c r="Q3857"/>
    </row>
    <row r="3858" ht="12.75">
      <c r="Q3858"/>
    </row>
    <row r="3859" ht="12.75">
      <c r="Q3859"/>
    </row>
    <row r="3860" ht="12.75">
      <c r="Q3860"/>
    </row>
    <row r="3861" ht="12.75">
      <c r="Q3861"/>
    </row>
    <row r="3862" ht="12.75">
      <c r="Q3862"/>
    </row>
    <row r="3863" ht="12.75">
      <c r="Q3863"/>
    </row>
    <row r="3864" ht="12.75">
      <c r="Q3864"/>
    </row>
    <row r="3865" ht="12.75">
      <c r="Q3865"/>
    </row>
    <row r="3866" ht="12.75">
      <c r="Q3866"/>
    </row>
    <row r="3867" ht="12.75">
      <c r="Q3867"/>
    </row>
    <row r="3868" ht="12.75">
      <c r="Q3868"/>
    </row>
    <row r="3869" ht="12.75">
      <c r="Q3869"/>
    </row>
    <row r="3870" ht="12.75">
      <c r="Q3870"/>
    </row>
    <row r="3871" ht="12.75">
      <c r="Q3871"/>
    </row>
    <row r="3872" ht="12.75">
      <c r="Q3872"/>
    </row>
    <row r="3873" ht="12.75">
      <c r="Q3873"/>
    </row>
    <row r="3874" ht="12.75">
      <c r="Q3874"/>
    </row>
    <row r="3875" ht="12.75">
      <c r="Q3875"/>
    </row>
    <row r="3876" ht="12.75">
      <c r="Q3876"/>
    </row>
    <row r="3877" ht="12.75">
      <c r="Q3877"/>
    </row>
    <row r="3878" ht="12.75">
      <c r="Q3878"/>
    </row>
    <row r="3879" ht="12.75">
      <c r="Q3879"/>
    </row>
    <row r="3880" ht="12.75">
      <c r="Q3880"/>
    </row>
    <row r="3881" ht="12.75">
      <c r="Q3881"/>
    </row>
    <row r="3882" ht="12.75">
      <c r="Q3882"/>
    </row>
    <row r="3883" ht="12.75">
      <c r="Q3883"/>
    </row>
    <row r="3884" ht="12.75">
      <c r="Q3884"/>
    </row>
    <row r="3885" ht="12.75">
      <c r="Q3885"/>
    </row>
    <row r="3886" ht="12.75">
      <c r="Q3886"/>
    </row>
    <row r="3887" ht="12.75">
      <c r="Q3887"/>
    </row>
    <row r="3888" ht="12.75">
      <c r="Q3888"/>
    </row>
    <row r="3889" ht="12.75">
      <c r="Q3889"/>
    </row>
    <row r="3890" ht="12.75">
      <c r="Q3890"/>
    </row>
    <row r="3891" ht="12.75">
      <c r="Q3891"/>
    </row>
    <row r="3892" ht="12.75">
      <c r="Q3892"/>
    </row>
    <row r="3893" ht="12.75">
      <c r="Q3893"/>
    </row>
    <row r="3894" ht="12.75">
      <c r="Q3894"/>
    </row>
    <row r="3895" ht="12.75">
      <c r="Q3895"/>
    </row>
    <row r="3896" ht="12.75">
      <c r="Q3896"/>
    </row>
    <row r="3897" ht="12.75">
      <c r="Q3897"/>
    </row>
    <row r="3898" ht="12.75">
      <c r="Q3898"/>
    </row>
    <row r="3899" ht="12.75">
      <c r="Q3899"/>
    </row>
    <row r="3900" ht="12.75">
      <c r="Q3900"/>
    </row>
    <row r="3901" ht="12.75">
      <c r="Q3901"/>
    </row>
    <row r="3902" ht="12.75">
      <c r="Q3902"/>
    </row>
    <row r="3903" ht="12.75">
      <c r="Q3903"/>
    </row>
    <row r="3904" ht="12.75">
      <c r="Q3904"/>
    </row>
    <row r="3905" ht="12.75">
      <c r="Q3905"/>
    </row>
    <row r="3906" ht="12.75">
      <c r="Q3906"/>
    </row>
    <row r="3907" ht="12.75">
      <c r="Q3907"/>
    </row>
    <row r="3908" ht="12.75">
      <c r="Q3908"/>
    </row>
    <row r="3909" ht="12.75">
      <c r="Q3909"/>
    </row>
    <row r="3910" ht="12.75">
      <c r="Q3910"/>
    </row>
    <row r="3911" ht="12.75">
      <c r="Q3911"/>
    </row>
    <row r="3912" ht="12.75">
      <c r="Q3912"/>
    </row>
    <row r="3913" ht="12.75">
      <c r="Q3913"/>
    </row>
    <row r="3914" ht="12.75">
      <c r="Q3914"/>
    </row>
    <row r="3915" ht="12.75">
      <c r="Q3915"/>
    </row>
    <row r="3916" ht="12.75">
      <c r="Q3916"/>
    </row>
    <row r="3917" ht="12.75">
      <c r="Q3917"/>
    </row>
    <row r="3918" ht="12.75">
      <c r="Q3918"/>
    </row>
    <row r="3919" ht="12.75">
      <c r="Q3919"/>
    </row>
    <row r="3920" ht="12.75">
      <c r="Q3920"/>
    </row>
    <row r="3921" ht="12.75">
      <c r="Q3921"/>
    </row>
    <row r="3922" ht="12.75">
      <c r="Q3922"/>
    </row>
    <row r="3923" ht="12.75">
      <c r="Q3923"/>
    </row>
    <row r="3924" ht="12.75">
      <c r="Q3924"/>
    </row>
    <row r="3925" ht="12.75">
      <c r="Q3925"/>
    </row>
    <row r="3926" ht="12.75">
      <c r="Q3926"/>
    </row>
    <row r="3927" ht="12.75">
      <c r="Q3927"/>
    </row>
    <row r="3928" ht="12.75">
      <c r="Q3928"/>
    </row>
    <row r="3929" ht="12.75">
      <c r="Q3929"/>
    </row>
    <row r="3930" ht="12.75">
      <c r="Q3930"/>
    </row>
    <row r="3931" ht="12.75">
      <c r="Q3931"/>
    </row>
    <row r="3932" ht="12.75">
      <c r="Q3932"/>
    </row>
    <row r="3933" ht="12.75">
      <c r="Q3933"/>
    </row>
    <row r="3934" ht="12.75">
      <c r="Q3934"/>
    </row>
    <row r="3935" ht="12.75">
      <c r="Q3935"/>
    </row>
    <row r="3936" ht="12.75">
      <c r="Q3936"/>
    </row>
    <row r="3937" ht="12.75">
      <c r="Q3937"/>
    </row>
    <row r="3938" ht="12.75">
      <c r="Q3938"/>
    </row>
    <row r="3939" ht="12.75">
      <c r="Q3939"/>
    </row>
    <row r="3940" ht="12.75">
      <c r="Q3940"/>
    </row>
    <row r="3941" ht="12.75">
      <c r="Q3941"/>
    </row>
    <row r="3942" ht="12.75">
      <c r="Q3942"/>
    </row>
    <row r="3943" ht="12.75">
      <c r="Q3943"/>
    </row>
    <row r="3944" ht="12.75">
      <c r="Q3944"/>
    </row>
    <row r="3945" ht="12.75">
      <c r="Q3945"/>
    </row>
    <row r="3946" ht="12.75">
      <c r="Q3946"/>
    </row>
    <row r="3947" ht="12.75">
      <c r="Q3947"/>
    </row>
    <row r="3948" ht="12.75">
      <c r="Q3948"/>
    </row>
    <row r="3949" ht="12.75">
      <c r="Q3949"/>
    </row>
    <row r="3950" ht="12.75">
      <c r="Q3950"/>
    </row>
    <row r="3951" ht="12.75">
      <c r="Q3951"/>
    </row>
    <row r="3952" ht="12.75">
      <c r="Q3952"/>
    </row>
    <row r="3953" ht="12.75">
      <c r="Q3953"/>
    </row>
    <row r="3954" ht="12.75">
      <c r="Q3954"/>
    </row>
    <row r="3955" ht="12.75">
      <c r="Q3955"/>
    </row>
    <row r="3956" ht="12.75">
      <c r="Q3956"/>
    </row>
    <row r="3957" ht="12.75">
      <c r="Q3957"/>
    </row>
    <row r="3958" ht="12.75">
      <c r="Q3958"/>
    </row>
    <row r="3959" ht="12.75">
      <c r="Q3959"/>
    </row>
    <row r="3960" ht="12.75">
      <c r="Q3960"/>
    </row>
    <row r="3961" ht="12.75">
      <c r="Q3961"/>
    </row>
    <row r="3962" ht="12.75">
      <c r="Q3962"/>
    </row>
    <row r="3963" ht="12.75">
      <c r="Q3963"/>
    </row>
    <row r="3964" ht="12.75">
      <c r="Q3964"/>
    </row>
    <row r="3965" ht="12.75">
      <c r="Q3965"/>
    </row>
    <row r="3966" ht="12.75">
      <c r="Q3966"/>
    </row>
    <row r="3967" ht="12.75">
      <c r="Q3967"/>
    </row>
    <row r="3968" ht="12.75">
      <c r="Q3968"/>
    </row>
    <row r="3969" ht="12.75">
      <c r="Q3969"/>
    </row>
    <row r="3970" ht="12.75">
      <c r="Q3970"/>
    </row>
    <row r="3971" ht="12.75">
      <c r="Q3971"/>
    </row>
    <row r="3972" ht="12.75">
      <c r="Q3972"/>
    </row>
    <row r="3973" ht="12.75">
      <c r="Q3973"/>
    </row>
    <row r="3974" ht="12.75">
      <c r="Q3974"/>
    </row>
    <row r="3975" ht="12.75">
      <c r="Q3975"/>
    </row>
    <row r="3976" ht="12.75">
      <c r="Q3976"/>
    </row>
    <row r="3977" ht="12.75">
      <c r="Q3977"/>
    </row>
    <row r="3978" ht="12.75">
      <c r="Q3978"/>
    </row>
    <row r="3979" ht="12.75">
      <c r="Q3979"/>
    </row>
    <row r="3980" ht="12.75">
      <c r="Q3980"/>
    </row>
    <row r="3981" ht="12.75">
      <c r="Q3981"/>
    </row>
    <row r="3982" ht="12.75">
      <c r="Q3982"/>
    </row>
    <row r="3983" ht="12.75">
      <c r="Q3983"/>
    </row>
    <row r="3984" ht="12.75">
      <c r="Q3984"/>
    </row>
    <row r="3985" ht="12.75">
      <c r="Q3985"/>
    </row>
    <row r="3986" ht="12.75">
      <c r="Q3986"/>
    </row>
    <row r="3987" ht="12.75">
      <c r="Q3987"/>
    </row>
    <row r="3988" ht="12.75">
      <c r="Q3988"/>
    </row>
    <row r="3989" ht="12.75">
      <c r="Q3989"/>
    </row>
    <row r="3990" ht="12.75">
      <c r="Q3990"/>
    </row>
    <row r="3991" ht="12.75">
      <c r="Q3991"/>
    </row>
    <row r="3992" ht="12.75">
      <c r="Q3992"/>
    </row>
    <row r="3993" ht="12.75">
      <c r="Q3993"/>
    </row>
    <row r="3994" ht="12.75">
      <c r="Q3994"/>
    </row>
    <row r="3995" ht="12.75">
      <c r="Q3995"/>
    </row>
    <row r="3996" ht="12.75">
      <c r="Q3996"/>
    </row>
    <row r="3997" ht="12.75">
      <c r="Q3997"/>
    </row>
    <row r="3998" ht="12.75">
      <c r="Q3998"/>
    </row>
    <row r="3999" ht="12.75">
      <c r="Q3999"/>
    </row>
    <row r="4000" ht="12.75">
      <c r="Q4000"/>
    </row>
    <row r="4001" ht="12.75">
      <c r="Q4001"/>
    </row>
    <row r="4002" ht="12.75">
      <c r="Q4002"/>
    </row>
    <row r="4003" ht="12.75">
      <c r="Q4003"/>
    </row>
    <row r="4004" ht="12.75">
      <c r="Q4004"/>
    </row>
    <row r="4005" ht="12.75">
      <c r="Q4005"/>
    </row>
    <row r="4006" ht="12.75">
      <c r="Q4006"/>
    </row>
    <row r="4007" ht="12.75">
      <c r="Q4007"/>
    </row>
    <row r="4008" ht="12.75">
      <c r="Q4008"/>
    </row>
    <row r="4009" ht="12.75">
      <c r="Q4009"/>
    </row>
    <row r="4010" ht="12.75">
      <c r="Q4010"/>
    </row>
    <row r="4011" ht="12.75">
      <c r="Q4011"/>
    </row>
    <row r="4012" ht="12.75">
      <c r="Q4012"/>
    </row>
    <row r="4013" ht="12.75">
      <c r="Q4013"/>
    </row>
    <row r="4014" ht="12.75">
      <c r="Q4014"/>
    </row>
    <row r="4015" ht="12.75">
      <c r="Q4015"/>
    </row>
    <row r="4016" ht="12.75">
      <c r="Q4016"/>
    </row>
    <row r="4017" ht="12.75">
      <c r="Q4017"/>
    </row>
    <row r="4018" ht="12.75">
      <c r="Q4018"/>
    </row>
    <row r="4019" ht="12.75">
      <c r="Q4019"/>
    </row>
    <row r="4020" ht="12.75">
      <c r="Q4020"/>
    </row>
    <row r="4021" ht="12.75">
      <c r="Q4021"/>
    </row>
    <row r="4022" ht="12.75">
      <c r="Q4022"/>
    </row>
    <row r="4023" ht="12.75">
      <c r="Q4023"/>
    </row>
    <row r="4024" ht="12.75">
      <c r="Q4024"/>
    </row>
    <row r="4025" ht="12.75">
      <c r="Q4025"/>
    </row>
    <row r="4026" ht="12.75">
      <c r="Q4026"/>
    </row>
    <row r="4027" ht="12.75">
      <c r="Q4027"/>
    </row>
    <row r="4028" ht="12.75">
      <c r="Q4028"/>
    </row>
    <row r="4029" ht="12.75">
      <c r="Q4029"/>
    </row>
    <row r="4030" ht="12.75">
      <c r="Q4030"/>
    </row>
    <row r="4031" ht="12.75">
      <c r="Q4031"/>
    </row>
    <row r="4032" ht="12.75">
      <c r="Q4032"/>
    </row>
    <row r="4033" ht="12.75">
      <c r="Q4033"/>
    </row>
    <row r="4034" ht="12.75">
      <c r="Q4034"/>
    </row>
    <row r="4035" ht="12.75">
      <c r="Q4035"/>
    </row>
    <row r="4036" ht="12.75">
      <c r="Q4036"/>
    </row>
    <row r="4037" ht="12.75">
      <c r="Q4037"/>
    </row>
    <row r="4038" ht="12.75">
      <c r="Q4038"/>
    </row>
    <row r="4039" ht="12.75">
      <c r="Q4039"/>
    </row>
    <row r="4040" ht="12.75">
      <c r="Q4040"/>
    </row>
    <row r="4041" ht="12.75">
      <c r="Q4041"/>
    </row>
    <row r="4042" ht="12.75">
      <c r="Q4042"/>
    </row>
    <row r="4043" ht="12.75">
      <c r="Q4043"/>
    </row>
    <row r="4044" ht="12.75">
      <c r="Q4044"/>
    </row>
    <row r="4045" ht="12.75">
      <c r="Q4045"/>
    </row>
    <row r="4046" ht="12.75">
      <c r="Q4046"/>
    </row>
    <row r="4047" ht="12.75">
      <c r="Q4047"/>
    </row>
    <row r="4048" ht="12.75">
      <c r="Q4048"/>
    </row>
    <row r="4049" ht="12.75">
      <c r="Q4049"/>
    </row>
    <row r="4050" ht="12.75">
      <c r="Q4050"/>
    </row>
    <row r="4051" ht="12.75">
      <c r="Q4051"/>
    </row>
    <row r="4052" ht="12.75">
      <c r="Q4052"/>
    </row>
    <row r="4053" ht="12.75">
      <c r="Q4053"/>
    </row>
    <row r="4054" ht="12.75">
      <c r="Q4054"/>
    </row>
    <row r="4055" ht="12.75">
      <c r="Q4055"/>
    </row>
    <row r="4056" ht="12.75">
      <c r="Q4056"/>
    </row>
    <row r="4057" ht="12.75">
      <c r="Q4057"/>
    </row>
    <row r="4058" ht="12.75">
      <c r="Q4058"/>
    </row>
    <row r="4059" ht="12.75">
      <c r="Q4059"/>
    </row>
    <row r="4060" ht="12.75">
      <c r="Q4060"/>
    </row>
    <row r="4061" ht="12.75">
      <c r="Q4061"/>
    </row>
    <row r="4062" ht="12.75">
      <c r="Q4062"/>
    </row>
    <row r="4063" ht="12.75">
      <c r="Q4063"/>
    </row>
    <row r="4064" ht="12.75">
      <c r="Q4064"/>
    </row>
    <row r="4065" ht="12.75">
      <c r="Q4065"/>
    </row>
    <row r="4066" ht="12.75">
      <c r="Q4066"/>
    </row>
    <row r="4067" ht="12.75">
      <c r="Q4067"/>
    </row>
    <row r="4068" ht="12.75">
      <c r="Q4068"/>
    </row>
    <row r="4069" ht="12.75">
      <c r="Q4069"/>
    </row>
    <row r="4070" ht="12.75">
      <c r="Q4070"/>
    </row>
    <row r="4071" ht="12.75">
      <c r="Q4071"/>
    </row>
    <row r="4072" ht="12.75">
      <c r="Q4072"/>
    </row>
    <row r="4073" ht="12.75">
      <c r="Q4073"/>
    </row>
    <row r="4074" ht="12.75">
      <c r="Q4074"/>
    </row>
    <row r="4075" ht="12.75">
      <c r="Q4075"/>
    </row>
    <row r="4076" ht="12.75">
      <c r="Q4076"/>
    </row>
    <row r="4077" ht="12.75">
      <c r="Q4077"/>
    </row>
    <row r="4078" ht="12.75">
      <c r="Q4078"/>
    </row>
    <row r="4079" ht="12.75">
      <c r="Q4079"/>
    </row>
    <row r="4080" ht="12.75">
      <c r="Q4080"/>
    </row>
    <row r="4081" ht="12.75">
      <c r="Q4081"/>
    </row>
    <row r="4082" ht="12.75">
      <c r="Q4082"/>
    </row>
    <row r="4083" ht="12.75">
      <c r="Q4083"/>
    </row>
    <row r="4084" ht="12.75">
      <c r="Q4084"/>
    </row>
    <row r="4085" ht="12.75">
      <c r="Q4085"/>
    </row>
    <row r="4086" ht="12.75">
      <c r="Q4086"/>
    </row>
    <row r="4087" ht="12.75">
      <c r="Q4087"/>
    </row>
    <row r="4088" ht="12.75">
      <c r="Q4088"/>
    </row>
    <row r="4089" ht="12.75">
      <c r="Q4089"/>
    </row>
    <row r="4090" ht="12.75">
      <c r="Q4090"/>
    </row>
    <row r="4091" ht="12.75">
      <c r="Q4091"/>
    </row>
    <row r="4092" ht="12.75">
      <c r="Q4092"/>
    </row>
    <row r="4093" ht="12.75">
      <c r="Q4093"/>
    </row>
    <row r="4094" ht="12.75">
      <c r="Q4094"/>
    </row>
    <row r="4095" ht="12.75">
      <c r="Q4095"/>
    </row>
    <row r="4096" ht="12.75">
      <c r="Q4096"/>
    </row>
    <row r="4097" ht="12.75">
      <c r="Q4097"/>
    </row>
    <row r="4098" ht="12.75">
      <c r="Q4098"/>
    </row>
    <row r="4099" ht="12.75">
      <c r="Q4099"/>
    </row>
    <row r="4100" ht="12.75">
      <c r="Q4100"/>
    </row>
    <row r="4101" ht="12.75">
      <c r="Q4101"/>
    </row>
    <row r="4102" ht="12.75">
      <c r="Q4102"/>
    </row>
    <row r="4103" ht="12.75">
      <c r="Q4103"/>
    </row>
    <row r="4104" ht="12.75">
      <c r="Q4104"/>
    </row>
    <row r="4105" ht="12.75">
      <c r="Q4105"/>
    </row>
    <row r="4106" ht="12.75">
      <c r="Q4106"/>
    </row>
    <row r="4107" ht="12.75">
      <c r="Q4107"/>
    </row>
    <row r="4108" ht="12.75">
      <c r="Q4108"/>
    </row>
    <row r="4109" ht="12.75">
      <c r="Q4109"/>
    </row>
    <row r="4110" ht="12.75">
      <c r="Q4110"/>
    </row>
    <row r="4111" ht="12.75">
      <c r="Q4111"/>
    </row>
    <row r="4112" ht="12.75">
      <c r="Q4112"/>
    </row>
    <row r="4113" ht="12.75">
      <c r="Q4113"/>
    </row>
    <row r="4114" ht="12.75">
      <c r="Q4114"/>
    </row>
    <row r="4115" ht="12.75">
      <c r="Q4115"/>
    </row>
    <row r="4116" ht="12.75">
      <c r="Q4116"/>
    </row>
    <row r="4117" ht="12.75">
      <c r="Q4117"/>
    </row>
    <row r="4118" ht="12.75">
      <c r="Q4118"/>
    </row>
    <row r="4119" ht="12.75">
      <c r="Q4119"/>
    </row>
    <row r="4120" ht="12.75">
      <c r="Q4120"/>
    </row>
    <row r="4121" ht="12.75">
      <c r="Q4121"/>
    </row>
    <row r="4122" ht="12.75">
      <c r="Q4122"/>
    </row>
    <row r="4123" ht="12.75">
      <c r="Q4123"/>
    </row>
    <row r="4124" ht="12.75">
      <c r="Q4124"/>
    </row>
    <row r="4125" ht="12.75">
      <c r="Q4125"/>
    </row>
    <row r="4126" ht="12.75">
      <c r="Q4126"/>
    </row>
    <row r="4127" ht="12.75">
      <c r="Q4127"/>
    </row>
    <row r="4128" ht="12.75">
      <c r="Q4128"/>
    </row>
    <row r="4129" ht="12.75">
      <c r="Q4129"/>
    </row>
    <row r="4130" ht="12.75">
      <c r="Q4130"/>
    </row>
    <row r="4131" ht="12.75">
      <c r="Q4131"/>
    </row>
    <row r="4132" ht="12.75">
      <c r="Q4132"/>
    </row>
    <row r="4133" ht="12.75">
      <c r="Q4133"/>
    </row>
    <row r="4134" ht="12.75">
      <c r="Q4134"/>
    </row>
    <row r="4135" ht="12.75">
      <c r="Q4135"/>
    </row>
    <row r="4136" ht="12.75">
      <c r="Q4136"/>
    </row>
    <row r="4137" ht="12.75">
      <c r="Q4137"/>
    </row>
    <row r="4138" ht="12.75">
      <c r="Q4138"/>
    </row>
    <row r="4139" ht="12.75">
      <c r="Q4139"/>
    </row>
    <row r="4140" ht="12.75">
      <c r="Q4140"/>
    </row>
    <row r="4141" ht="12.75">
      <c r="Q4141"/>
    </row>
    <row r="4142" ht="12.75">
      <c r="Q4142"/>
    </row>
    <row r="4143" ht="12.75">
      <c r="Q4143"/>
    </row>
    <row r="4144" ht="12.75">
      <c r="Q4144"/>
    </row>
    <row r="4145" ht="12.75">
      <c r="Q4145"/>
    </row>
    <row r="4146" ht="12.75">
      <c r="Q4146"/>
    </row>
    <row r="4147" ht="12.75">
      <c r="Q4147"/>
    </row>
    <row r="4148" ht="12.75">
      <c r="Q4148"/>
    </row>
    <row r="4149" ht="12.75">
      <c r="Q4149"/>
    </row>
    <row r="4150" ht="12.75">
      <c r="Q4150"/>
    </row>
    <row r="4151" ht="12.75">
      <c r="Q4151"/>
    </row>
    <row r="4152" ht="12.75">
      <c r="Q4152"/>
    </row>
    <row r="4153" ht="12.75">
      <c r="Q4153"/>
    </row>
    <row r="4154" ht="12.75">
      <c r="Q4154"/>
    </row>
    <row r="4155" ht="12.75">
      <c r="Q4155"/>
    </row>
    <row r="4156" ht="12.75">
      <c r="Q4156"/>
    </row>
    <row r="4157" ht="12.75">
      <c r="Q4157"/>
    </row>
    <row r="4158" ht="12.75">
      <c r="Q4158"/>
    </row>
    <row r="4159" ht="12.75">
      <c r="Q4159"/>
    </row>
    <row r="4160" ht="12.75">
      <c r="Q4160"/>
    </row>
    <row r="4161" ht="12.75">
      <c r="Q4161"/>
    </row>
    <row r="4162" ht="12.75">
      <c r="Q4162"/>
    </row>
    <row r="4163" ht="12.75">
      <c r="Q4163"/>
    </row>
    <row r="4164" ht="12.75">
      <c r="Q4164"/>
    </row>
    <row r="4165" ht="12.75">
      <c r="Q4165"/>
    </row>
    <row r="4166" ht="12.75">
      <c r="Q4166"/>
    </row>
    <row r="4167" ht="12.75">
      <c r="Q4167"/>
    </row>
    <row r="4168" ht="12.75">
      <c r="Q4168"/>
    </row>
    <row r="4169" ht="12.75">
      <c r="Q4169"/>
    </row>
    <row r="4170" ht="12.75">
      <c r="Q4170"/>
    </row>
    <row r="4171" ht="12.75">
      <c r="Q4171"/>
    </row>
    <row r="4172" ht="12.75">
      <c r="Q4172"/>
    </row>
    <row r="4173" ht="12.75">
      <c r="Q4173"/>
    </row>
    <row r="4174" ht="12.75">
      <c r="Q4174"/>
    </row>
    <row r="4175" ht="12.75">
      <c r="Q4175"/>
    </row>
    <row r="4176" ht="12.75">
      <c r="Q4176"/>
    </row>
    <row r="4177" ht="12.75">
      <c r="Q4177"/>
    </row>
    <row r="4178" ht="12.75">
      <c r="Q4178"/>
    </row>
    <row r="4179" ht="12.75">
      <c r="Q4179"/>
    </row>
    <row r="4180" ht="12.75">
      <c r="Q4180"/>
    </row>
    <row r="4181" ht="12.75">
      <c r="Q4181"/>
    </row>
    <row r="4182" ht="12.75">
      <c r="Q4182"/>
    </row>
    <row r="4183" ht="12.75">
      <c r="Q4183"/>
    </row>
    <row r="4184" ht="12.75">
      <c r="Q4184"/>
    </row>
    <row r="4185" ht="12.75">
      <c r="Q4185"/>
    </row>
    <row r="4186" ht="12.75">
      <c r="Q4186"/>
    </row>
    <row r="4187" ht="12.75">
      <c r="Q4187"/>
    </row>
    <row r="4188" ht="12.75">
      <c r="Q4188"/>
    </row>
    <row r="4189" ht="12.75">
      <c r="Q4189"/>
    </row>
    <row r="4190" ht="12.75">
      <c r="Q4190"/>
    </row>
    <row r="4191" ht="12.75">
      <c r="Q4191"/>
    </row>
    <row r="4192" ht="12.75">
      <c r="Q4192"/>
    </row>
    <row r="4193" ht="12.75">
      <c r="Q4193"/>
    </row>
    <row r="4194" ht="12.75">
      <c r="Q4194"/>
    </row>
    <row r="4195" ht="12.75">
      <c r="Q4195"/>
    </row>
    <row r="4196" ht="12.75">
      <c r="Q4196"/>
    </row>
    <row r="4197" ht="12.75">
      <c r="Q4197"/>
    </row>
    <row r="4198" ht="12.75">
      <c r="Q4198"/>
    </row>
    <row r="4199" ht="12.75">
      <c r="Q4199"/>
    </row>
    <row r="4200" ht="12.75">
      <c r="Q4200"/>
    </row>
    <row r="4201" ht="12.75">
      <c r="Q4201"/>
    </row>
    <row r="4202" ht="12.75">
      <c r="Q4202"/>
    </row>
    <row r="4203" ht="12.75">
      <c r="Q4203"/>
    </row>
    <row r="4204" ht="12.75">
      <c r="Q4204"/>
    </row>
    <row r="4205" ht="12.75">
      <c r="Q4205"/>
    </row>
    <row r="4206" ht="12.75">
      <c r="Q4206"/>
    </row>
    <row r="4207" ht="12.75">
      <c r="Q4207"/>
    </row>
    <row r="4208" ht="12.75">
      <c r="Q4208"/>
    </row>
    <row r="4209" ht="12.75">
      <c r="Q4209"/>
    </row>
    <row r="4210" ht="12.75">
      <c r="Q4210"/>
    </row>
    <row r="4211" ht="12.75">
      <c r="Q4211"/>
    </row>
    <row r="4212" ht="12.75">
      <c r="Q4212"/>
    </row>
    <row r="4213" ht="12.75">
      <c r="Q4213"/>
    </row>
    <row r="4214" ht="12.75">
      <c r="Q4214"/>
    </row>
    <row r="4215" ht="12.75">
      <c r="Q4215"/>
    </row>
    <row r="4216" ht="12.75">
      <c r="Q4216"/>
    </row>
    <row r="4217" ht="12.75">
      <c r="Q4217"/>
    </row>
    <row r="4218" ht="12.75">
      <c r="Q4218"/>
    </row>
    <row r="4219" ht="12.75">
      <c r="Q4219"/>
    </row>
    <row r="4220" ht="12.75">
      <c r="Q4220"/>
    </row>
    <row r="4221" ht="12.75">
      <c r="Q4221"/>
    </row>
    <row r="4222" ht="12.75">
      <c r="Q4222"/>
    </row>
    <row r="4223" ht="12.75">
      <c r="Q4223"/>
    </row>
    <row r="4224" ht="12.75">
      <c r="Q4224"/>
    </row>
    <row r="4225" ht="12.75">
      <c r="Q4225"/>
    </row>
    <row r="4226" ht="12.75">
      <c r="Q4226"/>
    </row>
    <row r="4227" ht="12.75">
      <c r="Q4227"/>
    </row>
    <row r="4228" ht="12.75">
      <c r="Q4228"/>
    </row>
    <row r="4229" ht="12.75">
      <c r="Q4229"/>
    </row>
    <row r="4230" ht="12.75">
      <c r="Q4230"/>
    </row>
    <row r="4231" ht="12.75">
      <c r="Q4231"/>
    </row>
    <row r="4232" ht="12.75">
      <c r="Q4232"/>
    </row>
    <row r="4233" ht="12.75">
      <c r="Q4233"/>
    </row>
    <row r="4234" ht="12.75">
      <c r="Q4234"/>
    </row>
    <row r="4235" ht="12.75">
      <c r="Q4235"/>
    </row>
    <row r="4236" ht="12.75">
      <c r="Q4236"/>
    </row>
    <row r="4237" ht="12.75">
      <c r="Q4237"/>
    </row>
    <row r="4238" ht="12.75">
      <c r="Q4238"/>
    </row>
    <row r="4239" ht="12.75">
      <c r="Q4239"/>
    </row>
    <row r="4240" ht="12.75">
      <c r="Q4240"/>
    </row>
    <row r="4241" ht="12.75">
      <c r="Q4241"/>
    </row>
    <row r="4242" ht="12.75">
      <c r="Q4242"/>
    </row>
    <row r="4243" ht="12.75">
      <c r="Q4243"/>
    </row>
    <row r="4244" ht="12.75">
      <c r="Q4244"/>
    </row>
    <row r="4245" ht="12.75">
      <c r="Q4245"/>
    </row>
    <row r="4246" ht="12.75">
      <c r="Q4246"/>
    </row>
    <row r="4247" ht="12.75">
      <c r="Q4247"/>
    </row>
    <row r="4248" ht="12.75">
      <c r="Q4248"/>
    </row>
    <row r="4249" ht="12.75">
      <c r="Q4249"/>
    </row>
    <row r="4250" ht="12.75">
      <c r="Q4250"/>
    </row>
    <row r="4251" ht="12.75">
      <c r="Q4251"/>
    </row>
    <row r="4252" ht="12.75">
      <c r="Q4252"/>
    </row>
    <row r="4253" ht="12.75">
      <c r="Q4253"/>
    </row>
    <row r="4254" ht="12.75">
      <c r="Q4254"/>
    </row>
    <row r="4255" ht="12.75">
      <c r="Q4255"/>
    </row>
    <row r="4256" ht="12.75">
      <c r="Q4256"/>
    </row>
    <row r="4257" ht="12.75">
      <c r="Q4257"/>
    </row>
    <row r="4258" ht="12.75">
      <c r="Q4258"/>
    </row>
    <row r="4259" ht="12.75">
      <c r="Q4259"/>
    </row>
    <row r="4260" ht="12.75">
      <c r="Q4260"/>
    </row>
    <row r="4261" ht="12.75">
      <c r="Q4261"/>
    </row>
    <row r="4262" ht="12.75">
      <c r="Q4262"/>
    </row>
    <row r="4263" ht="12.75">
      <c r="Q4263"/>
    </row>
    <row r="4264" ht="12.75">
      <c r="Q4264"/>
    </row>
    <row r="4265" ht="12.75">
      <c r="Q4265"/>
    </row>
    <row r="4266" ht="12.75">
      <c r="Q4266"/>
    </row>
    <row r="4267" ht="12.75">
      <c r="Q4267"/>
    </row>
    <row r="4268" ht="12.75">
      <c r="Q4268"/>
    </row>
    <row r="4269" ht="12.75">
      <c r="Q4269"/>
    </row>
    <row r="4270" ht="12.75">
      <c r="Q4270"/>
    </row>
    <row r="4271" ht="12.75">
      <c r="Q4271"/>
    </row>
    <row r="4272" ht="12.75">
      <c r="Q4272"/>
    </row>
    <row r="4273" ht="12.75">
      <c r="Q4273"/>
    </row>
    <row r="4274" ht="12.75">
      <c r="Q4274"/>
    </row>
    <row r="4275" ht="12.75">
      <c r="Q4275"/>
    </row>
    <row r="4276" ht="12.75">
      <c r="Q4276"/>
    </row>
    <row r="4277" ht="12.75">
      <c r="Q4277"/>
    </row>
    <row r="4278" ht="12.75">
      <c r="Q4278"/>
    </row>
    <row r="4279" ht="12.75">
      <c r="Q4279"/>
    </row>
    <row r="4280" ht="12.75">
      <c r="Q4280"/>
    </row>
    <row r="4281" ht="12.75">
      <c r="Q4281"/>
    </row>
    <row r="4282" ht="12.75">
      <c r="Q4282"/>
    </row>
    <row r="4283" ht="12.75">
      <c r="Q4283"/>
    </row>
    <row r="4284" ht="12.75">
      <c r="Q4284"/>
    </row>
    <row r="4285" ht="12.75">
      <c r="Q4285"/>
    </row>
    <row r="4286" ht="12.75">
      <c r="Q4286"/>
    </row>
    <row r="4287" ht="12.75">
      <c r="Q4287"/>
    </row>
    <row r="4288" ht="12.75">
      <c r="Q4288"/>
    </row>
    <row r="4289" ht="12.75">
      <c r="Q4289"/>
    </row>
    <row r="4290" ht="12.75">
      <c r="Q4290"/>
    </row>
    <row r="4291" ht="12.75">
      <c r="Q4291"/>
    </row>
    <row r="4292" ht="12.75">
      <c r="Q4292"/>
    </row>
    <row r="4293" ht="12.75">
      <c r="Q4293"/>
    </row>
    <row r="4294" ht="12.75">
      <c r="Q4294"/>
    </row>
    <row r="4295" ht="12.75">
      <c r="Q4295"/>
    </row>
    <row r="4296" ht="12.75">
      <c r="Q4296"/>
    </row>
    <row r="4297" ht="12.75">
      <c r="Q4297"/>
    </row>
    <row r="4298" ht="12.75">
      <c r="Q4298"/>
    </row>
    <row r="4299" ht="12.75">
      <c r="Q4299"/>
    </row>
    <row r="4300" ht="12.75">
      <c r="Q4300"/>
    </row>
    <row r="4301" ht="12.75">
      <c r="Q4301"/>
    </row>
    <row r="4302" ht="12.75">
      <c r="Q4302"/>
    </row>
    <row r="4303" ht="12.75">
      <c r="Q4303"/>
    </row>
    <row r="4304" ht="12.75">
      <c r="Q4304"/>
    </row>
    <row r="4305" ht="12.75">
      <c r="Q4305"/>
    </row>
    <row r="4306" ht="12.75">
      <c r="Q4306"/>
    </row>
    <row r="4307" ht="12.75">
      <c r="Q4307"/>
    </row>
    <row r="4308" ht="12.75">
      <c r="Q4308"/>
    </row>
    <row r="4309" ht="12.75">
      <c r="Q4309"/>
    </row>
    <row r="4310" ht="12.75">
      <c r="Q4310"/>
    </row>
    <row r="4311" ht="12.75">
      <c r="Q4311"/>
    </row>
    <row r="4312" ht="12.75">
      <c r="Q4312"/>
    </row>
    <row r="4313" ht="12.75">
      <c r="Q4313"/>
    </row>
    <row r="4314" ht="12.75">
      <c r="Q4314"/>
    </row>
    <row r="4315" ht="12.75">
      <c r="Q4315"/>
    </row>
    <row r="4316" ht="12.75">
      <c r="Q4316"/>
    </row>
    <row r="4317" ht="12.75">
      <c r="Q4317"/>
    </row>
    <row r="4318" ht="12.75">
      <c r="Q4318"/>
    </row>
    <row r="4319" ht="12.75">
      <c r="Q4319"/>
    </row>
    <row r="4320" ht="12.75">
      <c r="Q4320"/>
    </row>
    <row r="4321" ht="12.75">
      <c r="Q4321"/>
    </row>
    <row r="4322" ht="12.75">
      <c r="Q4322"/>
    </row>
    <row r="4323" ht="12.75">
      <c r="Q4323"/>
    </row>
    <row r="4324" ht="12.75">
      <c r="Q4324"/>
    </row>
    <row r="4325" ht="12.75">
      <c r="Q4325"/>
    </row>
    <row r="4326" ht="12.75">
      <c r="Q4326"/>
    </row>
    <row r="4327" ht="12.75">
      <c r="Q4327"/>
    </row>
    <row r="4328" ht="12.75">
      <c r="Q4328"/>
    </row>
    <row r="4329" ht="12.75">
      <c r="Q4329"/>
    </row>
    <row r="4330" ht="12.75">
      <c r="Q4330"/>
    </row>
    <row r="4331" ht="12.75">
      <c r="Q4331"/>
    </row>
    <row r="4332" ht="12.75">
      <c r="Q4332"/>
    </row>
    <row r="4333" ht="12.75">
      <c r="Q4333"/>
    </row>
    <row r="4334" ht="12.75">
      <c r="Q4334"/>
    </row>
    <row r="4335" ht="12.75">
      <c r="Q4335"/>
    </row>
    <row r="4336" ht="12.75">
      <c r="Q4336"/>
    </row>
    <row r="4337" ht="12.75">
      <c r="Q4337"/>
    </row>
    <row r="4338" ht="12.75">
      <c r="Q4338"/>
    </row>
    <row r="4339" ht="12.75">
      <c r="Q4339"/>
    </row>
    <row r="4340" ht="12.75">
      <c r="Q4340"/>
    </row>
    <row r="4341" ht="12.75">
      <c r="Q4341"/>
    </row>
    <row r="4342" ht="12.75">
      <c r="Q4342"/>
    </row>
    <row r="4343" ht="12.75">
      <c r="Q4343"/>
    </row>
    <row r="4344" ht="12.75">
      <c r="Q4344"/>
    </row>
    <row r="4345" ht="12.75">
      <c r="Q4345"/>
    </row>
    <row r="4346" ht="12.75">
      <c r="Q4346"/>
    </row>
    <row r="4347" ht="12.75">
      <c r="Q4347"/>
    </row>
    <row r="4348" ht="12.75">
      <c r="Q4348"/>
    </row>
    <row r="4349" ht="12.75">
      <c r="Q4349"/>
    </row>
    <row r="4350" ht="12.75">
      <c r="Q4350"/>
    </row>
    <row r="4351" ht="12.75">
      <c r="Q4351"/>
    </row>
    <row r="4352" ht="12.75">
      <c r="Q4352"/>
    </row>
    <row r="4353" ht="12.75">
      <c r="Q4353"/>
    </row>
    <row r="4354" ht="12.75">
      <c r="Q4354"/>
    </row>
    <row r="4355" ht="12.75">
      <c r="Q4355"/>
    </row>
    <row r="4356" ht="12.75">
      <c r="Q4356"/>
    </row>
    <row r="4357" ht="12.75">
      <c r="Q4357"/>
    </row>
    <row r="4358" ht="12.75">
      <c r="Q4358"/>
    </row>
    <row r="4359" ht="12.75">
      <c r="Q4359"/>
    </row>
    <row r="4360" ht="12.75">
      <c r="Q4360"/>
    </row>
    <row r="4361" ht="12.75">
      <c r="Q4361"/>
    </row>
    <row r="4362" ht="12.75">
      <c r="Q4362"/>
    </row>
    <row r="4363" ht="12.75">
      <c r="Q4363"/>
    </row>
    <row r="4364" ht="12.75">
      <c r="Q4364"/>
    </row>
    <row r="4365" ht="12.75">
      <c r="Q4365"/>
    </row>
    <row r="4366" ht="12.75">
      <c r="Q4366"/>
    </row>
    <row r="4367" ht="12.75">
      <c r="Q4367"/>
    </row>
    <row r="4368" ht="12.75">
      <c r="Q4368"/>
    </row>
    <row r="4369" ht="12.75">
      <c r="Q4369"/>
    </row>
    <row r="4370" ht="12.75">
      <c r="Q4370"/>
    </row>
    <row r="4371" ht="12.75">
      <c r="Q4371"/>
    </row>
    <row r="4372" ht="12.75">
      <c r="Q4372"/>
    </row>
    <row r="4373" ht="12.75">
      <c r="Q4373"/>
    </row>
    <row r="4374" ht="12.75">
      <c r="Q4374"/>
    </row>
    <row r="4375" ht="12.75">
      <c r="Q4375"/>
    </row>
    <row r="4376" ht="12.75">
      <c r="Q4376"/>
    </row>
    <row r="4377" ht="12.75">
      <c r="Q4377"/>
    </row>
    <row r="4378" ht="12.75">
      <c r="Q4378"/>
    </row>
    <row r="4379" ht="12.75">
      <c r="Q4379"/>
    </row>
    <row r="4380" ht="12.75">
      <c r="Q4380"/>
    </row>
    <row r="4381" ht="12.75">
      <c r="Q4381"/>
    </row>
    <row r="4382" ht="12.75">
      <c r="Q4382"/>
    </row>
    <row r="4383" ht="12.75">
      <c r="Q4383"/>
    </row>
    <row r="4384" ht="12.75">
      <c r="Q4384"/>
    </row>
    <row r="4385" ht="12.75">
      <c r="Q4385"/>
    </row>
    <row r="4386" ht="12.75">
      <c r="Q4386"/>
    </row>
    <row r="4387" ht="12.75">
      <c r="Q4387"/>
    </row>
    <row r="4388" ht="12.75">
      <c r="Q4388"/>
    </row>
    <row r="4389" ht="12.75">
      <c r="Q4389"/>
    </row>
    <row r="4390" ht="12.75">
      <c r="Q4390"/>
    </row>
    <row r="4391" ht="12.75">
      <c r="Q4391"/>
    </row>
    <row r="4392" ht="12.75">
      <c r="Q4392"/>
    </row>
    <row r="4393" ht="12.75">
      <c r="Q4393"/>
    </row>
    <row r="4394" ht="12.75">
      <c r="Q4394"/>
    </row>
    <row r="4395" ht="12.75">
      <c r="Q4395"/>
    </row>
    <row r="4396" ht="12.75">
      <c r="Q4396"/>
    </row>
    <row r="4397" ht="12.75">
      <c r="Q4397"/>
    </row>
    <row r="4398" ht="12.75">
      <c r="Q4398"/>
    </row>
    <row r="4399" ht="12.75">
      <c r="Q4399"/>
    </row>
    <row r="4400" ht="12.75">
      <c r="Q4400"/>
    </row>
    <row r="4401" ht="12.75">
      <c r="Q4401"/>
    </row>
    <row r="4402" ht="12.75">
      <c r="Q4402"/>
    </row>
    <row r="4403" ht="12.75">
      <c r="Q4403"/>
    </row>
    <row r="4404" ht="12.75">
      <c r="Q4404"/>
    </row>
    <row r="4405" ht="12.75">
      <c r="Q4405"/>
    </row>
    <row r="4406" ht="12.75">
      <c r="Q4406"/>
    </row>
    <row r="4407" ht="12.75">
      <c r="Q4407"/>
    </row>
    <row r="4408" ht="12.75">
      <c r="Q4408"/>
    </row>
    <row r="4409" ht="12.75">
      <c r="Q4409"/>
    </row>
    <row r="4410" ht="12.75">
      <c r="Q4410"/>
    </row>
    <row r="4411" ht="12.75">
      <c r="Q4411"/>
    </row>
    <row r="4412" ht="12.75">
      <c r="Q4412"/>
    </row>
    <row r="4413" ht="12.75">
      <c r="Q4413"/>
    </row>
    <row r="4414" ht="12.75">
      <c r="Q4414"/>
    </row>
    <row r="4415" ht="12.75">
      <c r="Q4415"/>
    </row>
    <row r="4416" ht="12.75">
      <c r="Q4416"/>
    </row>
    <row r="4417" ht="12.75">
      <c r="Q4417"/>
    </row>
    <row r="4418" ht="12.75">
      <c r="Q4418"/>
    </row>
    <row r="4419" ht="12.75">
      <c r="Q4419"/>
    </row>
    <row r="4420" ht="12.75">
      <c r="Q4420"/>
    </row>
    <row r="4421" ht="12.75">
      <c r="Q4421"/>
    </row>
    <row r="4422" ht="12.75">
      <c r="Q4422"/>
    </row>
    <row r="4423" ht="12.75">
      <c r="Q4423"/>
    </row>
    <row r="4424" ht="12.75">
      <c r="Q4424"/>
    </row>
    <row r="4425" ht="12.75">
      <c r="Q4425"/>
    </row>
    <row r="4426" ht="12.75">
      <c r="Q4426"/>
    </row>
    <row r="4427" ht="12.75">
      <c r="Q4427"/>
    </row>
    <row r="4428" ht="12.75">
      <c r="Q4428"/>
    </row>
    <row r="4429" ht="12.75">
      <c r="Q4429"/>
    </row>
    <row r="4430" ht="12.75">
      <c r="Q4430"/>
    </row>
    <row r="4431" ht="12.75">
      <c r="Q4431"/>
    </row>
    <row r="4432" ht="12.75">
      <c r="Q4432"/>
    </row>
    <row r="4433" ht="12.75">
      <c r="Q4433"/>
    </row>
    <row r="4434" ht="12.75">
      <c r="Q4434"/>
    </row>
    <row r="4435" ht="12.75">
      <c r="Q4435"/>
    </row>
    <row r="4436" ht="12.75">
      <c r="Q4436"/>
    </row>
    <row r="4437" ht="12.75">
      <c r="Q4437"/>
    </row>
    <row r="4438" ht="12.75">
      <c r="Q4438"/>
    </row>
    <row r="4439" ht="12.75">
      <c r="Q4439"/>
    </row>
    <row r="4440" ht="12.75">
      <c r="Q4440"/>
    </row>
    <row r="4441" ht="12.75">
      <c r="Q4441"/>
    </row>
    <row r="4442" ht="12.75">
      <c r="Q4442"/>
    </row>
    <row r="4443" ht="12.75">
      <c r="Q4443"/>
    </row>
    <row r="4444" ht="12.75">
      <c r="Q4444"/>
    </row>
    <row r="4445" ht="12.75">
      <c r="Q4445"/>
    </row>
    <row r="4446" ht="12.75">
      <c r="Q4446"/>
    </row>
    <row r="4447" ht="12.75">
      <c r="Q4447"/>
    </row>
    <row r="4448" ht="12.75">
      <c r="Q4448"/>
    </row>
    <row r="4449" ht="12.75">
      <c r="Q4449"/>
    </row>
    <row r="4450" ht="12.75">
      <c r="Q4450"/>
    </row>
    <row r="4451" ht="12.75">
      <c r="Q4451"/>
    </row>
    <row r="4452" ht="12.75">
      <c r="Q4452"/>
    </row>
    <row r="4453" ht="12.75">
      <c r="Q4453"/>
    </row>
    <row r="4454" ht="12.75">
      <c r="Q4454"/>
    </row>
    <row r="4455" ht="12.75">
      <c r="Q4455"/>
    </row>
    <row r="4456" ht="12.75">
      <c r="Q4456"/>
    </row>
    <row r="4457" ht="12.75">
      <c r="Q4457"/>
    </row>
    <row r="4458" ht="12.75">
      <c r="Q4458"/>
    </row>
    <row r="4459" ht="12.75">
      <c r="Q4459"/>
    </row>
    <row r="4460" ht="12.75">
      <c r="Q4460"/>
    </row>
    <row r="4461" ht="12.75">
      <c r="Q4461"/>
    </row>
    <row r="4462" ht="12.75">
      <c r="Q4462"/>
    </row>
    <row r="4463" ht="12.75">
      <c r="Q4463"/>
    </row>
    <row r="4464" ht="12.75">
      <c r="Q4464"/>
    </row>
    <row r="4465" ht="12.75">
      <c r="Q4465"/>
    </row>
    <row r="4466" ht="12.75">
      <c r="Q4466"/>
    </row>
    <row r="4467" ht="12.75">
      <c r="Q4467"/>
    </row>
    <row r="4468" ht="12.75">
      <c r="Q4468"/>
    </row>
    <row r="4469" ht="12.75">
      <c r="Q4469"/>
    </row>
    <row r="4470" ht="12.75">
      <c r="Q4470"/>
    </row>
    <row r="4471" ht="12.75">
      <c r="Q4471"/>
    </row>
    <row r="4472" ht="12.75">
      <c r="Q4472"/>
    </row>
    <row r="4473" ht="12.75">
      <c r="Q4473"/>
    </row>
    <row r="4474" ht="12.75">
      <c r="Q4474"/>
    </row>
    <row r="4475" ht="12.75">
      <c r="Q4475"/>
    </row>
    <row r="4476" ht="12.75">
      <c r="Q4476"/>
    </row>
    <row r="4477" ht="12.75">
      <c r="Q4477"/>
    </row>
    <row r="4478" ht="12.75">
      <c r="Q4478"/>
    </row>
    <row r="4479" ht="12.75">
      <c r="Q4479"/>
    </row>
    <row r="4480" ht="12.75">
      <c r="Q4480"/>
    </row>
    <row r="4481" ht="12.75">
      <c r="Q4481"/>
    </row>
    <row r="4482" ht="12.75">
      <c r="Q4482"/>
    </row>
    <row r="4483" ht="12.75">
      <c r="Q4483"/>
    </row>
    <row r="4484" ht="12.75">
      <c r="Q4484"/>
    </row>
    <row r="4485" ht="12.75">
      <c r="Q4485"/>
    </row>
    <row r="4486" ht="12.75">
      <c r="Q4486"/>
    </row>
    <row r="4487" ht="12.75">
      <c r="Q4487"/>
    </row>
    <row r="4488" ht="12.75">
      <c r="Q4488"/>
    </row>
    <row r="4489" ht="12.75">
      <c r="Q4489"/>
    </row>
    <row r="4490" ht="12.75">
      <c r="Q4490"/>
    </row>
    <row r="4491" ht="12.75">
      <c r="Q4491"/>
    </row>
    <row r="4492" ht="12.75">
      <c r="Q4492"/>
    </row>
    <row r="4493" ht="12.75">
      <c r="Q4493"/>
    </row>
    <row r="4494" ht="12.75">
      <c r="Q4494"/>
    </row>
    <row r="4495" ht="12.75">
      <c r="Q4495"/>
    </row>
    <row r="4496" ht="12.75">
      <c r="Q4496"/>
    </row>
    <row r="4497" ht="12.75">
      <c r="Q4497"/>
    </row>
    <row r="4498" ht="12.75">
      <c r="Q4498"/>
    </row>
    <row r="4499" ht="12.75">
      <c r="Q4499"/>
    </row>
    <row r="4500" ht="12.75">
      <c r="Q4500"/>
    </row>
    <row r="4501" ht="12.75">
      <c r="Q4501"/>
    </row>
    <row r="4502" ht="12.75">
      <c r="Q4502"/>
    </row>
    <row r="4503" ht="12.75">
      <c r="Q4503"/>
    </row>
    <row r="4504" ht="12.75">
      <c r="Q4504"/>
    </row>
    <row r="4505" ht="12.75">
      <c r="Q4505"/>
    </row>
    <row r="4506" ht="12.75">
      <c r="Q4506"/>
    </row>
    <row r="4507" ht="12.75">
      <c r="Q4507"/>
    </row>
    <row r="4508" ht="12.75">
      <c r="Q4508"/>
    </row>
    <row r="4509" ht="12.75">
      <c r="Q4509"/>
    </row>
    <row r="4510" ht="12.75">
      <c r="Q4510"/>
    </row>
    <row r="4511" ht="12.75">
      <c r="Q4511"/>
    </row>
    <row r="4512" ht="12.75">
      <c r="Q4512"/>
    </row>
    <row r="4513" ht="12.75">
      <c r="Q4513"/>
    </row>
    <row r="4514" ht="12.75">
      <c r="Q4514"/>
    </row>
    <row r="4515" ht="12.75">
      <c r="Q4515"/>
    </row>
    <row r="4516" ht="12.75">
      <c r="Q4516"/>
    </row>
    <row r="4517" ht="12.75">
      <c r="Q4517"/>
    </row>
    <row r="4518" ht="12.75">
      <c r="Q4518"/>
    </row>
    <row r="4519" ht="12.75">
      <c r="Q4519"/>
    </row>
    <row r="4520" ht="12.75">
      <c r="Q4520"/>
    </row>
    <row r="4521" ht="12.75">
      <c r="Q4521"/>
    </row>
    <row r="4522" ht="12.75">
      <c r="Q4522"/>
    </row>
    <row r="4523" ht="12.75">
      <c r="Q4523"/>
    </row>
    <row r="4524" ht="12.75">
      <c r="Q4524"/>
    </row>
    <row r="4525" ht="12.75">
      <c r="Q4525"/>
    </row>
    <row r="4526" ht="12.75">
      <c r="Q4526"/>
    </row>
    <row r="4527" ht="12.75">
      <c r="Q4527"/>
    </row>
    <row r="4528" ht="12.75">
      <c r="Q4528"/>
    </row>
    <row r="4529" ht="12.75">
      <c r="Q4529"/>
    </row>
    <row r="4530" ht="12.75">
      <c r="Q4530"/>
    </row>
    <row r="4531" ht="12.75">
      <c r="Q4531"/>
    </row>
    <row r="4532" ht="12.75">
      <c r="Q4532"/>
    </row>
    <row r="4533" ht="12.75">
      <c r="Q4533"/>
    </row>
    <row r="4534" ht="12.75">
      <c r="Q4534"/>
    </row>
    <row r="4535" ht="12.75">
      <c r="Q4535"/>
    </row>
    <row r="4536" ht="12.75">
      <c r="Q4536"/>
    </row>
    <row r="4537" ht="12.75">
      <c r="Q4537"/>
    </row>
    <row r="4538" ht="12.75">
      <c r="Q4538"/>
    </row>
    <row r="4539" ht="12.75">
      <c r="Q4539"/>
    </row>
    <row r="4540" ht="12.75">
      <c r="Q4540"/>
    </row>
    <row r="4541" ht="12.75">
      <c r="Q4541"/>
    </row>
    <row r="4542" ht="12.75">
      <c r="Q4542"/>
    </row>
    <row r="4543" ht="12.75">
      <c r="Q4543"/>
    </row>
    <row r="4544" ht="12.75">
      <c r="Q4544"/>
    </row>
    <row r="4545" ht="12.75">
      <c r="Q4545"/>
    </row>
    <row r="4546" ht="12.75">
      <c r="Q4546"/>
    </row>
    <row r="4547" ht="12.75">
      <c r="Q4547"/>
    </row>
    <row r="4548" ht="12.75">
      <c r="Q4548"/>
    </row>
    <row r="4549" ht="12.75">
      <c r="Q4549"/>
    </row>
    <row r="4550" ht="12.75">
      <c r="Q4550"/>
    </row>
    <row r="4551" ht="12.75">
      <c r="Q4551"/>
    </row>
    <row r="4552" ht="12.75">
      <c r="Q4552"/>
    </row>
    <row r="4553" ht="12.75">
      <c r="Q4553"/>
    </row>
    <row r="4554" ht="12.75">
      <c r="Q4554"/>
    </row>
    <row r="4555" ht="12.75">
      <c r="Q4555"/>
    </row>
    <row r="4556" ht="12.75">
      <c r="Q4556"/>
    </row>
    <row r="4557" ht="12.75">
      <c r="Q4557"/>
    </row>
    <row r="4558" ht="12.75">
      <c r="Q4558"/>
    </row>
    <row r="4559" ht="12.75">
      <c r="Q4559"/>
    </row>
    <row r="4560" ht="12.75">
      <c r="Q4560"/>
    </row>
    <row r="4561" ht="12.75">
      <c r="Q4561"/>
    </row>
    <row r="4562" ht="12.75">
      <c r="Q4562"/>
    </row>
    <row r="4563" ht="12.75">
      <c r="Q4563"/>
    </row>
    <row r="4564" ht="12.75">
      <c r="Q4564"/>
    </row>
    <row r="4565" ht="12.75">
      <c r="Q4565"/>
    </row>
    <row r="4566" ht="12.75">
      <c r="Q4566"/>
    </row>
    <row r="4567" ht="12.75">
      <c r="Q4567"/>
    </row>
    <row r="4568" ht="12.75">
      <c r="Q4568"/>
    </row>
    <row r="4569" ht="12.75">
      <c r="Q4569"/>
    </row>
    <row r="4570" ht="12.75">
      <c r="Q4570"/>
    </row>
    <row r="4571" ht="12.75">
      <c r="Q4571"/>
    </row>
    <row r="4572" ht="12.75">
      <c r="Q4572"/>
    </row>
    <row r="4573" ht="12.75">
      <c r="Q4573"/>
    </row>
    <row r="4574" ht="12.75">
      <c r="Q4574"/>
    </row>
    <row r="4575" ht="12.75">
      <c r="Q4575"/>
    </row>
    <row r="4576" ht="12.75">
      <c r="Q4576"/>
    </row>
    <row r="4577" ht="12.75">
      <c r="Q4577"/>
    </row>
    <row r="4578" ht="12.75">
      <c r="Q4578"/>
    </row>
    <row r="4579" ht="12.75">
      <c r="Q4579"/>
    </row>
    <row r="4580" ht="12.75">
      <c r="Q4580"/>
    </row>
    <row r="4581" ht="12.75">
      <c r="Q4581"/>
    </row>
    <row r="4582" ht="12.75">
      <c r="Q4582"/>
    </row>
    <row r="4583" ht="12.75">
      <c r="Q4583"/>
    </row>
    <row r="4584" ht="12.75">
      <c r="Q4584"/>
    </row>
    <row r="4585" ht="12.75">
      <c r="Q4585"/>
    </row>
    <row r="4586" ht="12.75">
      <c r="Q4586"/>
    </row>
    <row r="4587" ht="12.75">
      <c r="Q4587"/>
    </row>
    <row r="4588" ht="12.75">
      <c r="Q4588"/>
    </row>
    <row r="4589" ht="12.75">
      <c r="Q4589"/>
    </row>
    <row r="4590" ht="12.75">
      <c r="Q4590"/>
    </row>
    <row r="4591" ht="12.75">
      <c r="Q4591"/>
    </row>
    <row r="4592" ht="12.75">
      <c r="Q4592"/>
    </row>
    <row r="4593" ht="12.75">
      <c r="Q4593"/>
    </row>
    <row r="4594" ht="12.75">
      <c r="Q4594"/>
    </row>
    <row r="4595" ht="12.75">
      <c r="Q4595"/>
    </row>
    <row r="4596" ht="12.75">
      <c r="Q4596"/>
    </row>
    <row r="4597" ht="12.75">
      <c r="Q4597"/>
    </row>
    <row r="4598" ht="12.75">
      <c r="Q4598"/>
    </row>
    <row r="4599" ht="12.75">
      <c r="Q4599"/>
    </row>
    <row r="4600" ht="12.75">
      <c r="Q4600"/>
    </row>
    <row r="4601" ht="12.75">
      <c r="Q4601"/>
    </row>
    <row r="4602" ht="12.75">
      <c r="Q4602"/>
    </row>
    <row r="4603" ht="12.75">
      <c r="Q4603"/>
    </row>
    <row r="4604" ht="12.75">
      <c r="Q4604"/>
    </row>
    <row r="4605" ht="12.75">
      <c r="Q4605"/>
    </row>
    <row r="4606" ht="12.75">
      <c r="Q4606"/>
    </row>
    <row r="4607" ht="12.75">
      <c r="Q4607"/>
    </row>
    <row r="4608" ht="12.75">
      <c r="Q4608"/>
    </row>
    <row r="4609" ht="12.75">
      <c r="Q4609"/>
    </row>
    <row r="4610" ht="12.75">
      <c r="Q4610"/>
    </row>
    <row r="4611" ht="12.75">
      <c r="Q4611"/>
    </row>
    <row r="4612" ht="12.75">
      <c r="Q4612"/>
    </row>
    <row r="4613" ht="12.75">
      <c r="Q4613"/>
    </row>
    <row r="4614" ht="12.75">
      <c r="Q4614"/>
    </row>
    <row r="4615" ht="12.75">
      <c r="Q4615"/>
    </row>
    <row r="4616" ht="12.75">
      <c r="Q4616"/>
    </row>
    <row r="4617" ht="12.75">
      <c r="Q4617"/>
    </row>
    <row r="4618" ht="12.75">
      <c r="Q4618"/>
    </row>
    <row r="4619" ht="12.75">
      <c r="Q4619"/>
    </row>
    <row r="4620" ht="12.75">
      <c r="Q4620"/>
    </row>
    <row r="4621" ht="12.75">
      <c r="Q4621"/>
    </row>
    <row r="4622" ht="12.75">
      <c r="Q4622"/>
    </row>
    <row r="4623" ht="12.75">
      <c r="Q4623"/>
    </row>
    <row r="4624" ht="12.75">
      <c r="Q4624"/>
    </row>
    <row r="4625" ht="12.75">
      <c r="Q4625"/>
    </row>
    <row r="4626" ht="12.75">
      <c r="Q4626"/>
    </row>
    <row r="4627" ht="12.75">
      <c r="Q4627"/>
    </row>
    <row r="4628" ht="12.75">
      <c r="Q4628"/>
    </row>
    <row r="4629" ht="12.75">
      <c r="Q4629"/>
    </row>
    <row r="4630" ht="12.75">
      <c r="Q4630"/>
    </row>
    <row r="4631" ht="12.75">
      <c r="Q4631"/>
    </row>
    <row r="4632" ht="12.75">
      <c r="Q4632"/>
    </row>
    <row r="4633" ht="12.75">
      <c r="Q4633"/>
    </row>
    <row r="4634" ht="12.75">
      <c r="Q4634"/>
    </row>
    <row r="4635" ht="12.75">
      <c r="Q4635"/>
    </row>
    <row r="4636" ht="12.75">
      <c r="Q4636"/>
    </row>
    <row r="4637" ht="12.75">
      <c r="Q4637"/>
    </row>
    <row r="4638" ht="12.75">
      <c r="Q4638"/>
    </row>
    <row r="4639" ht="12.75">
      <c r="Q4639"/>
    </row>
    <row r="4640" ht="12.75">
      <c r="Q4640"/>
    </row>
    <row r="4641" ht="12.75">
      <c r="Q4641"/>
    </row>
    <row r="4642" ht="12.75">
      <c r="Q4642"/>
    </row>
    <row r="4643" ht="12.75">
      <c r="Q4643"/>
    </row>
    <row r="4644" ht="12.75">
      <c r="Q4644"/>
    </row>
    <row r="4645" ht="12.75">
      <c r="Q4645"/>
    </row>
    <row r="4646" ht="12.75">
      <c r="Q4646"/>
    </row>
    <row r="4647" ht="12.75">
      <c r="Q4647"/>
    </row>
    <row r="4648" ht="12.75">
      <c r="Q4648"/>
    </row>
    <row r="4649" ht="12.75">
      <c r="Q4649"/>
    </row>
    <row r="4650" ht="12.75">
      <c r="Q4650"/>
    </row>
    <row r="4651" ht="12.75">
      <c r="Q4651"/>
    </row>
    <row r="4652" ht="12.75">
      <c r="Q4652"/>
    </row>
    <row r="4653" ht="12.75">
      <c r="Q4653"/>
    </row>
    <row r="4654" ht="12.75">
      <c r="Q4654"/>
    </row>
    <row r="4655" ht="12.75">
      <c r="Q4655"/>
    </row>
    <row r="4656" ht="12.75">
      <c r="Q4656"/>
    </row>
    <row r="4657" ht="12.75">
      <c r="Q4657"/>
    </row>
    <row r="4658" ht="12.75">
      <c r="Q4658"/>
    </row>
    <row r="4659" ht="12.75">
      <c r="Q4659"/>
    </row>
    <row r="4660" ht="12.75">
      <c r="Q4660"/>
    </row>
    <row r="4661" ht="12.75">
      <c r="Q4661"/>
    </row>
    <row r="4662" ht="12.75">
      <c r="Q4662"/>
    </row>
    <row r="4663" ht="12.75">
      <c r="Q4663"/>
    </row>
    <row r="4664" ht="12.75">
      <c r="Q4664"/>
    </row>
    <row r="4665" ht="12.75">
      <c r="Q4665"/>
    </row>
    <row r="4666" ht="12.75">
      <c r="Q4666"/>
    </row>
    <row r="4667" ht="12.75">
      <c r="Q4667"/>
    </row>
    <row r="4668" ht="12.75">
      <c r="Q4668"/>
    </row>
    <row r="4669" ht="12.75">
      <c r="Q4669"/>
    </row>
    <row r="4670" ht="12.75">
      <c r="Q4670"/>
    </row>
    <row r="4671" ht="12.75">
      <c r="Q4671"/>
    </row>
    <row r="4672" ht="12.75">
      <c r="Q4672"/>
    </row>
    <row r="4673" ht="12.75">
      <c r="Q4673"/>
    </row>
    <row r="4674" ht="12.75">
      <c r="Q4674"/>
    </row>
    <row r="4675" ht="12.75">
      <c r="Q4675"/>
    </row>
    <row r="4676" ht="12.75">
      <c r="Q4676"/>
    </row>
    <row r="4677" ht="12.75">
      <c r="Q4677"/>
    </row>
    <row r="4678" ht="12.75">
      <c r="Q4678"/>
    </row>
    <row r="4679" ht="12.75">
      <c r="Q4679"/>
    </row>
    <row r="4680" ht="12.75">
      <c r="Q4680"/>
    </row>
    <row r="4681" ht="12.75">
      <c r="Q4681"/>
    </row>
    <row r="4682" ht="12.75">
      <c r="Q4682"/>
    </row>
    <row r="4683" ht="12.75">
      <c r="Q4683"/>
    </row>
    <row r="4684" ht="12.75">
      <c r="Q4684"/>
    </row>
    <row r="4685" ht="12.75">
      <c r="Q4685"/>
    </row>
    <row r="4686" ht="12.75">
      <c r="Q4686"/>
    </row>
    <row r="4687" ht="12.75">
      <c r="Q4687"/>
    </row>
    <row r="4688" ht="12.75">
      <c r="Q4688"/>
    </row>
    <row r="4689" ht="12.75">
      <c r="Q4689"/>
    </row>
    <row r="4690" ht="12.75">
      <c r="Q4690"/>
    </row>
    <row r="4691" ht="12.75">
      <c r="Q4691"/>
    </row>
    <row r="4692" ht="12.75">
      <c r="Q4692"/>
    </row>
    <row r="4693" ht="12.75">
      <c r="Q4693"/>
    </row>
    <row r="4694" ht="12.75">
      <c r="Q4694"/>
    </row>
    <row r="4695" ht="12.75">
      <c r="Q4695"/>
    </row>
    <row r="4696" ht="12.75">
      <c r="Q4696"/>
    </row>
    <row r="4697" ht="12.75">
      <c r="Q4697"/>
    </row>
    <row r="4698" ht="12.75">
      <c r="Q4698"/>
    </row>
    <row r="4699" ht="12.75">
      <c r="Q4699"/>
    </row>
    <row r="4700" ht="12.75">
      <c r="Q4700"/>
    </row>
    <row r="4701" ht="12.75">
      <c r="Q4701"/>
    </row>
    <row r="4702" ht="12.75">
      <c r="Q4702"/>
    </row>
    <row r="4703" ht="12.75">
      <c r="Q4703"/>
    </row>
    <row r="4704" ht="12.75">
      <c r="Q4704"/>
    </row>
    <row r="4705" ht="12.75">
      <c r="Q4705"/>
    </row>
    <row r="4706" ht="12.75">
      <c r="Q4706"/>
    </row>
    <row r="4707" ht="12.75">
      <c r="Q4707"/>
    </row>
    <row r="4708" ht="12.75">
      <c r="Q4708"/>
    </row>
    <row r="4709" ht="12.75">
      <c r="Q4709"/>
    </row>
    <row r="4710" ht="12.75">
      <c r="Q4710"/>
    </row>
    <row r="4711" ht="12.75">
      <c r="Q4711"/>
    </row>
    <row r="4712" ht="12.75">
      <c r="Q4712"/>
    </row>
    <row r="4713" ht="12.75">
      <c r="Q4713"/>
    </row>
    <row r="4714" ht="12.75">
      <c r="Q4714"/>
    </row>
    <row r="4715" ht="12.75">
      <c r="Q4715"/>
    </row>
    <row r="4716" ht="12.75">
      <c r="Q4716"/>
    </row>
    <row r="4717" ht="12.75">
      <c r="Q4717"/>
    </row>
    <row r="4718" ht="12.75">
      <c r="Q4718"/>
    </row>
    <row r="4719" ht="12.75">
      <c r="Q4719"/>
    </row>
    <row r="4720" ht="12.75">
      <c r="Q4720"/>
    </row>
    <row r="4721" ht="12.75">
      <c r="Q4721"/>
    </row>
    <row r="4722" ht="12.75">
      <c r="Q4722"/>
    </row>
    <row r="4723" ht="12.75">
      <c r="Q4723"/>
    </row>
    <row r="4724" ht="12.75">
      <c r="Q4724"/>
    </row>
    <row r="4725" ht="12.75">
      <c r="Q4725"/>
    </row>
    <row r="4726" ht="12.75">
      <c r="Q4726"/>
    </row>
    <row r="4727" ht="12.75">
      <c r="Q4727"/>
    </row>
    <row r="4728" ht="12.75">
      <c r="Q4728"/>
    </row>
    <row r="4729" ht="12.75">
      <c r="Q4729"/>
    </row>
    <row r="4730" ht="12.75">
      <c r="Q4730"/>
    </row>
    <row r="4731" ht="12.75">
      <c r="Q4731"/>
    </row>
    <row r="4732" ht="12.75">
      <c r="Q4732"/>
    </row>
    <row r="4733" ht="12.75">
      <c r="Q4733"/>
    </row>
    <row r="4734" ht="12.75">
      <c r="Q4734"/>
    </row>
    <row r="4735" ht="12.75">
      <c r="Q4735"/>
    </row>
    <row r="4736" ht="12.75">
      <c r="Q4736"/>
    </row>
    <row r="4737" ht="12.75">
      <c r="Q4737"/>
    </row>
    <row r="4738" ht="12.75">
      <c r="Q4738"/>
    </row>
    <row r="4739" ht="12.75">
      <c r="Q4739"/>
    </row>
    <row r="4740" ht="12.75">
      <c r="Q4740"/>
    </row>
    <row r="4741" ht="12.75">
      <c r="Q4741"/>
    </row>
    <row r="4742" ht="12.75">
      <c r="Q4742"/>
    </row>
    <row r="4743" ht="12.75">
      <c r="Q4743"/>
    </row>
    <row r="4744" ht="12.75">
      <c r="Q4744"/>
    </row>
    <row r="4745" ht="12.75">
      <c r="Q4745"/>
    </row>
    <row r="4746" ht="12.75">
      <c r="Q4746"/>
    </row>
    <row r="4747" ht="12.75">
      <c r="Q4747"/>
    </row>
    <row r="4748" ht="12.75">
      <c r="Q4748"/>
    </row>
    <row r="4749" ht="12.75">
      <c r="Q4749"/>
    </row>
    <row r="4750" ht="12.75">
      <c r="Q4750"/>
    </row>
    <row r="4751" ht="12.75">
      <c r="Q4751"/>
    </row>
    <row r="4752" ht="12.75">
      <c r="Q4752"/>
    </row>
    <row r="4753" ht="12.75">
      <c r="Q4753"/>
    </row>
    <row r="4754" ht="12.75">
      <c r="Q4754"/>
    </row>
    <row r="4755" ht="12.75">
      <c r="Q4755"/>
    </row>
    <row r="4756" ht="12.75">
      <c r="Q4756"/>
    </row>
    <row r="4757" ht="12.75">
      <c r="Q4757"/>
    </row>
    <row r="4758" ht="12.75">
      <c r="Q4758"/>
    </row>
    <row r="4759" ht="12.75">
      <c r="Q4759"/>
    </row>
    <row r="4760" ht="12.75">
      <c r="Q4760"/>
    </row>
    <row r="4761" ht="12.75">
      <c r="Q4761"/>
    </row>
    <row r="4762" ht="12.75">
      <c r="Q4762"/>
    </row>
    <row r="4763" ht="12.75">
      <c r="Q4763"/>
    </row>
    <row r="4764" ht="12.75">
      <c r="Q4764"/>
    </row>
    <row r="4765" ht="12.75">
      <c r="Q4765"/>
    </row>
    <row r="4766" ht="12.75">
      <c r="Q4766"/>
    </row>
    <row r="4767" ht="12.75">
      <c r="Q4767"/>
    </row>
    <row r="4768" ht="12.75">
      <c r="Q4768"/>
    </row>
    <row r="4769" ht="12.75">
      <c r="Q4769"/>
    </row>
    <row r="4770" ht="12.75">
      <c r="Q4770"/>
    </row>
    <row r="4771" ht="12.75">
      <c r="Q4771"/>
    </row>
    <row r="4772" ht="12.75">
      <c r="Q4772"/>
    </row>
    <row r="4773" ht="12.75">
      <c r="Q4773"/>
    </row>
    <row r="4774" ht="12.75">
      <c r="Q4774"/>
    </row>
    <row r="4775" ht="12.75">
      <c r="Q4775"/>
    </row>
    <row r="4776" ht="12.75">
      <c r="Q4776"/>
    </row>
    <row r="4777" ht="12.75">
      <c r="Q4777"/>
    </row>
    <row r="4778" ht="12.75">
      <c r="Q4778"/>
    </row>
    <row r="4779" ht="12.75">
      <c r="Q4779"/>
    </row>
    <row r="4780" ht="12.75">
      <c r="Q4780"/>
    </row>
    <row r="4781" ht="12.75">
      <c r="Q4781"/>
    </row>
    <row r="4782" ht="12.75">
      <c r="Q4782"/>
    </row>
    <row r="4783" ht="12.75">
      <c r="Q4783"/>
    </row>
    <row r="4784" ht="12.75">
      <c r="Q4784"/>
    </row>
    <row r="4785" ht="12.75">
      <c r="Q4785"/>
    </row>
    <row r="4786" ht="12.75">
      <c r="Q4786"/>
    </row>
    <row r="4787" ht="12.75">
      <c r="Q4787"/>
    </row>
    <row r="4788" ht="12.75">
      <c r="Q4788"/>
    </row>
    <row r="4789" ht="12.75">
      <c r="Q4789"/>
    </row>
    <row r="4790" ht="12.75">
      <c r="Q4790"/>
    </row>
    <row r="4791" ht="12.75">
      <c r="Q4791"/>
    </row>
    <row r="4792" ht="12.75">
      <c r="Q4792"/>
    </row>
    <row r="4793" ht="12.75">
      <c r="Q4793"/>
    </row>
    <row r="4794" ht="12.75">
      <c r="Q4794"/>
    </row>
    <row r="4795" ht="12.75">
      <c r="Q4795"/>
    </row>
    <row r="4796" ht="12.75">
      <c r="Q4796"/>
    </row>
    <row r="4797" ht="12.75">
      <c r="Q4797"/>
    </row>
    <row r="4798" ht="12.75">
      <c r="Q4798"/>
    </row>
    <row r="4799" ht="12.75">
      <c r="Q4799"/>
    </row>
    <row r="4800" ht="12.75">
      <c r="Q4800"/>
    </row>
    <row r="4801" ht="12.75">
      <c r="Q4801"/>
    </row>
    <row r="4802" ht="12.75">
      <c r="Q4802"/>
    </row>
    <row r="4803" ht="12.75">
      <c r="Q4803"/>
    </row>
    <row r="4804" ht="12.75">
      <c r="Q4804"/>
    </row>
    <row r="4805" ht="12.75">
      <c r="Q4805"/>
    </row>
    <row r="4806" ht="12.75">
      <c r="Q4806"/>
    </row>
    <row r="4807" ht="12.75">
      <c r="Q4807"/>
    </row>
    <row r="4808" ht="12.75">
      <c r="Q4808"/>
    </row>
    <row r="4809" ht="12.75">
      <c r="Q4809"/>
    </row>
    <row r="4810" ht="12.75">
      <c r="Q4810"/>
    </row>
    <row r="4811" ht="12.75">
      <c r="Q4811"/>
    </row>
    <row r="4812" ht="12.75">
      <c r="Q4812"/>
    </row>
    <row r="4813" ht="12.75">
      <c r="Q4813"/>
    </row>
    <row r="4814" ht="12.75">
      <c r="Q4814"/>
    </row>
    <row r="4815" ht="12.75">
      <c r="Q4815"/>
    </row>
    <row r="4816" ht="12.75">
      <c r="Q4816"/>
    </row>
    <row r="4817" ht="12.75">
      <c r="Q4817"/>
    </row>
    <row r="4818" ht="12.75">
      <c r="Q4818"/>
    </row>
    <row r="4819" ht="12.75">
      <c r="Q4819"/>
    </row>
    <row r="4820" ht="12.75">
      <c r="Q4820"/>
    </row>
    <row r="4821" ht="12.75">
      <c r="Q4821"/>
    </row>
    <row r="4822" ht="12.75">
      <c r="Q4822"/>
    </row>
    <row r="4823" ht="12.75">
      <c r="Q4823"/>
    </row>
    <row r="4824" ht="12.75">
      <c r="Q4824"/>
    </row>
    <row r="4825" ht="12.75">
      <c r="Q4825"/>
    </row>
    <row r="4826" ht="12.75">
      <c r="Q4826"/>
    </row>
    <row r="4827" ht="12.75">
      <c r="Q4827"/>
    </row>
    <row r="4828" ht="12.75">
      <c r="Q4828"/>
    </row>
    <row r="4829" ht="12.75">
      <c r="Q4829"/>
    </row>
    <row r="4830" ht="12.75">
      <c r="Q4830"/>
    </row>
    <row r="4831" ht="12.75">
      <c r="Q4831"/>
    </row>
    <row r="4832" ht="12.75">
      <c r="Q4832"/>
    </row>
    <row r="4833" ht="12.75">
      <c r="Q4833"/>
    </row>
    <row r="4834" ht="12.75">
      <c r="Q4834"/>
    </row>
    <row r="4835" ht="12.75">
      <c r="Q4835"/>
    </row>
    <row r="4836" ht="12.75">
      <c r="Q4836"/>
    </row>
    <row r="4837" ht="12.75">
      <c r="Q4837"/>
    </row>
    <row r="4838" ht="12.75">
      <c r="Q4838"/>
    </row>
    <row r="4839" ht="12.75">
      <c r="Q4839"/>
    </row>
    <row r="4840" ht="12.75">
      <c r="Q4840"/>
    </row>
    <row r="4841" ht="12.75">
      <c r="Q4841"/>
    </row>
    <row r="4842" ht="12.75">
      <c r="Q4842"/>
    </row>
    <row r="4843" ht="12.75">
      <c r="Q4843"/>
    </row>
    <row r="4844" ht="12.75">
      <c r="Q4844"/>
    </row>
    <row r="4845" ht="12.75">
      <c r="Q4845"/>
    </row>
    <row r="4846" ht="12.75">
      <c r="Q4846"/>
    </row>
    <row r="4847" ht="12.75">
      <c r="Q4847"/>
    </row>
    <row r="4848" ht="12.75">
      <c r="Q4848"/>
    </row>
    <row r="4849" ht="12.75">
      <c r="Q4849"/>
    </row>
    <row r="4850" ht="12.75">
      <c r="Q4850"/>
    </row>
    <row r="4851" ht="12.75">
      <c r="Q4851"/>
    </row>
    <row r="4852" ht="12.75">
      <c r="Q4852"/>
    </row>
    <row r="4853" ht="12.75">
      <c r="Q4853"/>
    </row>
    <row r="4854" ht="12.75">
      <c r="Q4854"/>
    </row>
    <row r="4855" ht="12.75">
      <c r="Q4855"/>
    </row>
    <row r="4856" ht="12.75">
      <c r="Q4856"/>
    </row>
    <row r="4857" ht="12.75">
      <c r="Q4857"/>
    </row>
    <row r="4858" ht="12.75">
      <c r="Q4858"/>
    </row>
    <row r="4859" ht="12.75">
      <c r="Q4859"/>
    </row>
    <row r="4860" ht="12.75">
      <c r="Q4860"/>
    </row>
    <row r="4861" ht="12.75">
      <c r="Q4861"/>
    </row>
    <row r="4862" ht="12.75">
      <c r="Q4862"/>
    </row>
    <row r="4863" ht="12.75">
      <c r="Q4863"/>
    </row>
    <row r="4864" ht="12.75">
      <c r="Q4864"/>
    </row>
    <row r="4865" ht="12.75">
      <c r="Q4865"/>
    </row>
    <row r="4866" ht="12.75">
      <c r="Q4866"/>
    </row>
    <row r="4867" ht="12.75">
      <c r="Q4867"/>
    </row>
    <row r="4868" ht="12.75">
      <c r="Q4868"/>
    </row>
    <row r="4869" ht="12.75">
      <c r="Q4869"/>
    </row>
    <row r="4870" ht="12.75">
      <c r="Q4870"/>
    </row>
    <row r="4871" ht="12.75">
      <c r="Q4871"/>
    </row>
    <row r="4872" ht="12.75">
      <c r="Q4872"/>
    </row>
    <row r="4873" ht="12.75">
      <c r="Q4873"/>
    </row>
    <row r="4874" ht="12.75">
      <c r="Q4874"/>
    </row>
    <row r="4875" ht="12.75">
      <c r="Q4875"/>
    </row>
    <row r="4876" ht="12.75">
      <c r="Q4876"/>
    </row>
    <row r="4877" ht="12.75">
      <c r="Q4877"/>
    </row>
    <row r="4878" ht="12.75">
      <c r="Q4878"/>
    </row>
    <row r="4879" ht="12.75">
      <c r="Q4879"/>
    </row>
    <row r="4880" ht="12.75">
      <c r="Q4880"/>
    </row>
    <row r="4881" ht="12.75">
      <c r="Q4881"/>
    </row>
    <row r="4882" ht="12.75">
      <c r="Q4882"/>
    </row>
    <row r="4883" ht="12.75">
      <c r="Q4883"/>
    </row>
    <row r="4884" ht="12.75">
      <c r="Q4884"/>
    </row>
    <row r="4885" ht="12.75">
      <c r="Q4885"/>
    </row>
    <row r="4886" ht="12.75">
      <c r="Q4886"/>
    </row>
    <row r="4887" ht="12.75">
      <c r="Q4887"/>
    </row>
    <row r="4888" ht="12.75">
      <c r="Q4888"/>
    </row>
    <row r="4889" ht="12.75">
      <c r="Q4889"/>
    </row>
    <row r="4890" ht="12.75">
      <c r="Q4890"/>
    </row>
    <row r="4891" ht="12.75">
      <c r="Q4891"/>
    </row>
    <row r="4892" ht="12.75">
      <c r="Q4892"/>
    </row>
    <row r="4893" ht="12.75">
      <c r="Q4893"/>
    </row>
  </sheetData>
  <sheetProtection/>
  <autoFilter ref="A7:AP497"/>
  <mergeCells count="17">
    <mergeCell ref="E6:F6"/>
    <mergeCell ref="K5:K6"/>
    <mergeCell ref="M1:Q1"/>
    <mergeCell ref="A2:Q2"/>
    <mergeCell ref="A4:F5"/>
    <mergeCell ref="G4:G6"/>
    <mergeCell ref="H4:H6"/>
    <mergeCell ref="I4:I6"/>
    <mergeCell ref="L5:L6"/>
    <mergeCell ref="J4:O4"/>
    <mergeCell ref="J5:J6"/>
    <mergeCell ref="M5:M6"/>
    <mergeCell ref="N5:N6"/>
    <mergeCell ref="O5:O6"/>
    <mergeCell ref="P4:Q4"/>
    <mergeCell ref="Q5:Q6"/>
    <mergeCell ref="P5:P6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Юлия В. Седых</cp:lastModifiedBy>
  <cp:lastPrinted>2019-01-29T13:02:58Z</cp:lastPrinted>
  <dcterms:created xsi:type="dcterms:W3CDTF">2015-09-23T05:26:21Z</dcterms:created>
  <dcterms:modified xsi:type="dcterms:W3CDTF">2019-02-12T07:53:20Z</dcterms:modified>
  <cp:category/>
  <cp:version/>
  <cp:contentType/>
  <cp:contentStatus/>
</cp:coreProperties>
</file>