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15" windowWidth="17790" windowHeight="5010" activeTab="0"/>
  </bookViews>
  <sheets>
    <sheet name="прил_4" sheetId="1" r:id="rId1"/>
    <sheet name="расчет_показ" sheetId="2" r:id="rId2"/>
  </sheets>
  <externalReferences>
    <externalReference r:id="rId5"/>
  </externalReferences>
  <definedNames>
    <definedName name="_xlnm._FilterDatabase" localSheetId="0" hidden="1">'прил_4'!$A$20:$R$303</definedName>
    <definedName name="_xlnm.Print_Titles" localSheetId="0">'прил_4'!$18:$20</definedName>
    <definedName name="_xlnm.Print_Titles" localSheetId="1">'расчет_показ'!$11:$14</definedName>
    <definedName name="_xlnm.Print_Area" localSheetId="0">'прил_4'!$A$1:$Q$325</definedName>
    <definedName name="_xlnm.Print_Area" localSheetId="1">'расчет_показ'!$A$1:$J$135</definedName>
  </definedNames>
  <calcPr fullCalcOnLoad="1"/>
</workbook>
</file>

<file path=xl/comments2.xml><?xml version="1.0" encoding="utf-8"?>
<comments xmlns="http://schemas.openxmlformats.org/spreadsheetml/2006/main">
  <authors>
    <author>zavackayamv</author>
    <author>Zavackayamv</author>
  </authors>
  <commentList>
    <comment ref="D95" authorId="0">
      <text>
        <r>
          <rPr>
            <b/>
            <sz val="8"/>
            <rFont val="Tahoma"/>
            <family val="0"/>
          </rPr>
          <t>zavackayamv:</t>
        </r>
        <r>
          <rPr>
            <sz val="8"/>
            <rFont val="Tahoma"/>
            <family val="0"/>
          </rPr>
          <t xml:space="preserve">
СВЕРЕНО с ОФКиС форма 1ФК</t>
        </r>
      </text>
    </comment>
    <comment ref="D105" authorId="0">
      <text>
        <r>
          <rPr>
            <b/>
            <sz val="8"/>
            <rFont val="Tahoma"/>
            <family val="0"/>
          </rPr>
          <t>zavackayamv:</t>
        </r>
        <r>
          <rPr>
            <sz val="8"/>
            <rFont val="Tahoma"/>
            <family val="0"/>
          </rPr>
          <t xml:space="preserve">
Сверено с отделом строительства и архитектуры</t>
        </r>
      </text>
    </comment>
    <comment ref="J43" authorId="1">
      <text>
        <r>
          <rPr>
            <b/>
            <sz val="8"/>
            <rFont val="Tahoma"/>
            <family val="0"/>
          </rPr>
          <t>Zavackayamv:</t>
        </r>
        <r>
          <rPr>
            <sz val="8"/>
            <rFont val="Tahoma"/>
            <family val="0"/>
          </rPr>
          <t xml:space="preserve">
+ лыжн. база</t>
        </r>
      </text>
    </comment>
  </commentList>
</comments>
</file>

<file path=xl/sharedStrings.xml><?xml version="1.0" encoding="utf-8"?>
<sst xmlns="http://schemas.openxmlformats.org/spreadsheetml/2006/main" count="1303" uniqueCount="452">
  <si>
    <t>Реконструкция проспекта Победы на участке от ул. Кирилкина до пр. Морской г. Северодвинск</t>
  </si>
  <si>
    <t>Строительство дороги по продлению проспекта Морского от проспекта Победы до пересечения с Солзенским шоссе в г. Северодвинске</t>
  </si>
  <si>
    <t>Реконструкция автомобильной дороги по Банному переулку с устройством ливневой канализации в городе Северодвинске</t>
  </si>
  <si>
    <t>Строительство берегоукрепительных сооружений набережной реки Кудьма в городе Северодвинске (I очереди I этапа берегоукрепительных сооружений)</t>
  </si>
  <si>
    <t>Реконструкция моста через Никольское устье Северной Двины в г. Северодвинске</t>
  </si>
  <si>
    <t>Показатель 1  «Площадь отведенного участка, на котором выполнены подготовительные работы»</t>
  </si>
  <si>
    <t xml:space="preserve">Строительство объекта «Канализационный самотечный коллектор на пр. Беломорском в г. Северодвинске Архангельской области                       </t>
  </si>
  <si>
    <t>Проектирование и строительство ливневой канализации вдоль улицы Портовой на участке от Архангельского шоссе до ул. Первомайской в городе Северодвинске Архангельской области</t>
  </si>
  <si>
    <t>Реконструкция дороги по ул. Окружной в г. Северодвинске (участок от ул. Коммунальной до путепровода)</t>
  </si>
  <si>
    <t>– количество граждан, состоящих на учете и имеющих право на получение государственных жилищных сертификатов, человек.</t>
  </si>
  <si>
    <t>Отношение количества детей-сирот, детей, оставшихся без попечения родителей, и лиц из их числа, обеспеченных жилыми помещениями к нуждающимся лицам данной категории, умноженное на 100</t>
  </si>
  <si>
    <t>- количество детей-сирот, детей, оставшихся без попечения родителей, и лиц из их числа, обеспеченных жилыми помещениями, человек</t>
  </si>
  <si>
    <t>Показатель 2  «Площадь земельных участков, предоставленных для строительства, в расчете на 10 тыс. чел. населения»</t>
  </si>
  <si>
    <t>- количество детей-сирот, детей, оставшихся без попечения родителей, и лиц из их числа, нуждающихся в жилых помещениях, человек</t>
  </si>
  <si>
    <t>137</t>
  </si>
  <si>
    <t>Показатель 3 цели –доля ветхих и аварийных многоквартирных домов в муниципальном образовании «Северодвинск»</t>
  </si>
  <si>
    <t>Показатель 1 цели –годовой объем ввода жилья</t>
  </si>
  <si>
    <t>УСиА</t>
  </si>
  <si>
    <t>КЖКХ</t>
  </si>
  <si>
    <t>УЭ</t>
  </si>
  <si>
    <t>Показатель 1 «Объем введенного в эксплуатацию здания»</t>
  </si>
  <si>
    <t>Отношение общей площади жилых помещений аварийных домов к общей площади жилых помещений в муниципальном образовании «Северодвинск», умноженное на 100</t>
  </si>
  <si>
    <t>УСиА, КУМИЗО</t>
  </si>
  <si>
    <t>Отношение количества генеральных планов населенных пунктов муниципального образования «Северодвинск» к количеству населенных пунктов муниципального образования, умноженное на 100</t>
  </si>
  <si>
    <t>КУМИЗО</t>
  </si>
  <si>
    <t>C - численность населения региона (района, города)</t>
  </si>
  <si>
    <t>Административное  мероприятие 1.01 «Утверждение правовых актов по включению молодых семей в число участников подпрограммы»</t>
  </si>
  <si>
    <t>Административное мероприятие 2.01 «Выдача государственных жилищных сертификатов  гражданам, относящимся к категориям, установленным федеральным законодательством»</t>
  </si>
  <si>
    <t>Задача 1 «Развитие инженерной инфраструктуры»</t>
  </si>
  <si>
    <t>га</t>
  </si>
  <si>
    <t>кв.м</t>
  </si>
  <si>
    <t>федеральный бюджет</t>
  </si>
  <si>
    <t>областной бюджет</t>
  </si>
  <si>
    <t>местный бюджет</t>
  </si>
  <si>
    <t>Показатель 1 «Выкупленная площадь многоквартирного дома (нарастающим итогом)»</t>
  </si>
  <si>
    <t>Показатель 1 «Количество документов»</t>
  </si>
  <si>
    <t>2018 год: факт на 01.01.2018 4 256 272,5 + ввод 2018 57305 - снос 2018 5056,5</t>
  </si>
  <si>
    <t>2018 год: факт на 01.01.2018 100 787,7 - снос 2018 5056,5 + признан. авар. 2018  9043,4</t>
  </si>
  <si>
    <t>Реконструкция берегоукрепительных сооружений на о. Ягры в г. Северодвинске (1 этап)</t>
  </si>
  <si>
    <t>Завершение строительства мостового перехода через реку Малая Кудьма на Солзенском шоссе в г. Северодвинске Архангельской области</t>
  </si>
  <si>
    <t>– объем средств федерального бюджета, выделенных на реализацию программы муниципальным образованиям Архангельской области, тыс. руб.</t>
  </si>
  <si>
    <t>Отношение объема средств федерального бюджета, выделенных муниципальному образованию «Северодвинск» в рамках  государственной программы Российской Федерации «Обеспечение доступным и комфортным жильем и коммунальными услугами граждан Российской Федерации», к объему средств федерального бюджета, выделенных муниципальным образованиям Архангельской области на обеспечение жильем молодых семей, умноженное на 100</t>
  </si>
  <si>
    <t>– объем средств федерального бюджета, выделенных муниципальному образованию «Северодвинск» в рамках  государственной программы Российской Федерации «Обеспечение доступным и комфортным жильем и коммунальными услугами граждан Российской Федерации», тыс. руб.</t>
  </si>
  <si>
    <t>Показатель 1 задачи 1 – доля средств федерального бюджета, выделенных муниципальному образованию «Северодвинск» в рамках  государственной программы Российской Федерации «Обеспечение доступным и комфортным жильем и коммунальными услугами граждан Российской Федерации», (в процентах от общего объема средств федерального бюджета, выделенных муниципальным образованиям Архангельской области)</t>
  </si>
  <si>
    <t xml:space="preserve">Административное  мероприятие 1.02 «Формирование списка претендентов на получение социальных выплат» </t>
  </si>
  <si>
    <t>Мероприятие 1.02 «Подготовка  проектов планировки и проектов межевания территорий кварталов с проведением инженерно-геологических изысканий»</t>
  </si>
  <si>
    <t>- число объектов социальной сферы (ед.), в том числе:</t>
  </si>
  <si>
    <t>закрепленных по ведомственной принадлежности за отделом физической культуры и спорта</t>
  </si>
  <si>
    <t>закрепленных по ведомственной принадлежности за Управлением образования Администрации Северодвинска</t>
  </si>
  <si>
    <t>закрепленных по ведомственной принадлежности за Управлением культуры и общественных связей Администрации Северодвинска</t>
  </si>
  <si>
    <t>Показатель 1 «Протяженность наружных сетей электроснабжения»</t>
  </si>
  <si>
    <t>Показатель 1 «Протяженность ливневого коллектора»</t>
  </si>
  <si>
    <t>Мероприятие 1.15 «Строительство ливневого коллектора по ул. Ломоносова»</t>
  </si>
  <si>
    <t>Мероприятие 1.14 «Строительство сетей холодного водоснабжения и канализации по улице Южной в городе Северодвинске Архангельской области»</t>
  </si>
  <si>
    <t>Количество реализованных инвестиционных проектов, направленных на развитие инженерной инфраструктуры (нарастающим итогом), ед</t>
  </si>
  <si>
    <t>Показатель 1 «Количество  нормативно-правовых актов»</t>
  </si>
  <si>
    <t>да/нет</t>
  </si>
  <si>
    <t>Программа</t>
  </si>
  <si>
    <t>Подпрограмма</t>
  </si>
  <si>
    <t>Цель программы</t>
  </si>
  <si>
    <t>Задача подпрограммы</t>
  </si>
  <si>
    <t>Цели 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</si>
  <si>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</si>
  <si>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Значение</t>
  </si>
  <si>
    <t>Год достижения</t>
  </si>
  <si>
    <t>Целевое (суммарное) значение показателя</t>
  </si>
  <si>
    <t>кв. м</t>
  </si>
  <si>
    <t>тыс. руб.</t>
  </si>
  <si>
    <t>ед.</t>
  </si>
  <si>
    <t>%</t>
  </si>
  <si>
    <t>да</t>
  </si>
  <si>
    <t> %</t>
  </si>
  <si>
    <t xml:space="preserve">кв. м </t>
  </si>
  <si>
    <t xml:space="preserve">% </t>
  </si>
  <si>
    <t>58-00-29</t>
  </si>
  <si>
    <t>Показатель 1 «Годовой объем ввода жилья»</t>
  </si>
  <si>
    <t>Задача 2 «Развитие социальной инфраструктуры»</t>
  </si>
  <si>
    <t>Задача  1 «Повышение доступности  жилья для молодых семей»</t>
  </si>
  <si>
    <t>Задача 1 «Обеспечение финансовой поддержкой жителей Северодвинска»</t>
  </si>
  <si>
    <t>Задача  2 «Выполнение государственных обязательств по обеспечению жильем  категорий граждан, установленных федеральным законодательством»</t>
  </si>
  <si>
    <t>Показатель 1 «Количество граждан, получивших субсидии на оплату жилого помещения и коммунальных услуг»</t>
  </si>
  <si>
    <t>Показатель 3 «Доля ветхих и аварийных многоквартирных домов в муниципальном образовании «Северодвинск»</t>
  </si>
  <si>
    <t>Показатель 3  «Площадь благоустроенной территории, на которой выполнено устройство асфальтобетонного покрытия»</t>
  </si>
  <si>
    <t>Отношение численности детей, охваченных образовательными программами дошкольного образования к нормативному количеству мест в дошкольных образовательных организациях</t>
  </si>
  <si>
    <t>Отношение общей площади жилищного фонда муниципального образования "Северодвинск" к среднегодовой численности населения Северодвинска</t>
  </si>
  <si>
    <t>– общая площадь жилищного фонда муниципального образования "Северодвинск", кв. м</t>
  </si>
  <si>
    <t>- численность населения проживающего в аварийном и непригодном для проживания жилищном фонде, человек</t>
  </si>
  <si>
    <t>Показатель 1 задачи 2  - уровень наполняемости детских дошкольных учреждений</t>
  </si>
  <si>
    <t>Показатель 2 цели – общая площадь жилищного фонда муниципального образования "Северодвинск", в расчете на одного жителя Северодвинска</t>
  </si>
  <si>
    <t>Показатель 1 «Уровень наполняемости детских дошкольных учреждений»</t>
  </si>
  <si>
    <t>в том числе:</t>
  </si>
  <si>
    <t>- количество семей, проживающих в ветхом и аварийном жилищном фонде, улучшивших жилищные условия в отчетном году</t>
  </si>
  <si>
    <r>
      <t>Отношение количества семей, улучшивших жилищные условия в отчетном году к количеству семей,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состоящих на учете в качестве нуждающихся в жилых помещениях, умноженное на 100.</t>
    </r>
  </si>
  <si>
    <t>Количество семей, улучшивших жилищные условия в отчетном году, единиц</t>
  </si>
  <si>
    <t>- количество молодых семей, получивших социальные выплаты</t>
  </si>
  <si>
    <t>- количество семей, получивших субсидии на строительство и приобретение жилья</t>
  </si>
  <si>
    <t>- количество семей состоящих на учете и имеющих право на получение государственных жилищных сертификатов</t>
  </si>
  <si>
    <t>- количество семей, проживающих в ветхом и аварийном жилищном фонде, состоящих на учете в качестве нуждающихся в жилых помещениях</t>
  </si>
  <si>
    <t xml:space="preserve">- число семей, состоящих на учете для получения субсидии на строительство и приобретение жилья </t>
  </si>
  <si>
    <t>Количество семей, состоящих на учете в качестве нуждающихся в жилых помещениях, единиц</t>
  </si>
  <si>
    <t>Показатель 1 «Протяженность участка дороги, на котором выполнены подготовительные работы»</t>
  </si>
  <si>
    <t>Показатель 2 «Протяженность введенного в эксплуатацию участка дороги»</t>
  </si>
  <si>
    <t>Мероприятие 1.17 «Выполнение работ по обоснованию инвестиционных проектов в сфере дорожного хозяйства»</t>
  </si>
  <si>
    <t>Показатель 1 «Количество контрактов на осуществление технологического присоединения»</t>
  </si>
  <si>
    <t>– число семей, состоящих на учете для получения субсидии на строительство и приобретение жилья , единиц</t>
  </si>
  <si>
    <t xml:space="preserve">Отношение количество семей, получивших субсидии на  строительство и приобретение жилья к числу семей, состоящих на учете для получения субсидии на строительство и приобретение жилья, умноженное на 100 </t>
  </si>
  <si>
    <t>Показатель 2 «Доля семей, получивших субсидии на строительство и приобретение жилья в отчетном году, от общего числа семей, состоящих на учете для получения субсидии»</t>
  </si>
  <si>
    <t>Показатель 2 задачи 1 - доля семей, получивших субсидии на строительство и приобретение жилья в отчетном году, от общего числа семей, состоящих на учете для получения субсидии</t>
  </si>
  <si>
    <t>Показатель 1 задачи 1 – общая площадь введенных в эксплуатацию жилых помещений в рамках реализации программы переселения граждан из аварийного жилищного фонда, в расчете на одного жителя Северодвинска</t>
  </si>
  <si>
    <t>Показатель 1 «Общая площадь введенных в эксплуатацию жилых помещений в рамках реализации программы переселения граждан из аварийного жилищного фонда, в расчете на одного жителя Северодвинска»</t>
  </si>
  <si>
    <t>Отношение общей  площади жилых помещений, введенных в действие за год, в рамках реализации программы переселения к годовому объему ввода жилья в Северодвинске, умноженное на 100</t>
  </si>
  <si>
    <t xml:space="preserve">Отношение количества граждан, улучшивших жилищные условия путем реализации государственных жилищных сертификатов, к количеству граждан, состоящих на учете и имеющих право на получение государственных жилищных сертификатов, умноженное на 100  </t>
  </si>
  <si>
    <t>Показатель 1 «Доля граждан, улучшивших жилищные условия путем реализации государственных жилищных сертификатов в отчетном году, от числа граждан, состоящих на учете и имеющих право на получение государственных жилищных сертификатов»</t>
  </si>
  <si>
    <t>Показатель 2 «Обеспеченность  муниципального образования «Северодвинск» генеральными планами населенных пунктов»</t>
  </si>
  <si>
    <t>кв.м/ га</t>
  </si>
  <si>
    <t>Показатель 8 цели - количество реализованных инвестиционных проектов, направленных на развитие инженерной инфраструктуры</t>
  </si>
  <si>
    <t>Показатель 1 задачи 1 – плотность автомобильных дорог Северодвинска</t>
  </si>
  <si>
    <t>Показатель 2 «Площадь территории 175 квартала, на которой выполнена вертикальная планировка»</t>
  </si>
  <si>
    <t>Показатель 8 «Количество реализованных инвестиционных проектов, направленных на развитие инженерной инфраструктуры»</t>
  </si>
  <si>
    <t>Показатель 1 «Плотность автомобильных дорог Северодвинска»</t>
  </si>
  <si>
    <t>Численность детей в возрасте от 0 до 7 лет, обеспеченных услугами дошкольного образования</t>
  </si>
  <si>
    <t>- количество детей в возрасте от 0 до 3 лет, получающих услугу дошкольного образования</t>
  </si>
  <si>
    <t>- количество детей в возрасте от 3 до 7 лет, обеспеченных услугами дошкольного образования</t>
  </si>
  <si>
    <t>Нормативное количество мест в дошкольных образовательных организациях:</t>
  </si>
  <si>
    <t>численность детей в возрасте от 0 до 7 лет, проживающих на территории Северодвинска</t>
  </si>
  <si>
    <t>норматив количества мест в образовательных организациях в расчете на 100 детей в возрасте от 0 до 7 лет (Методическими рекомендациями по развитию сети образовательных организаций и обеспеченности населения услугами таких организаций, включающие требования по размещению организаций сферы образования, в том числе в сельской местности, исходя из норм действующего законодательства Российской Федерации, с учетом возрастного состава и плотности населения, транспортной инфраструктуры и других факторов, влияющих на доступность и обеспеченность населения услугами сферы образования", утв. Минобрнауки России 04.05.2016 N АК-15/02вн)</t>
  </si>
  <si>
    <t>Задача 1 «Оптимизация системы территориального планирования муниципального образования «Северодвинск»</t>
  </si>
  <si>
    <t>Показатель 1 «Количество списков»</t>
  </si>
  <si>
    <t>чел.</t>
  </si>
  <si>
    <t>% в год</t>
  </si>
  <si>
    <t>Показатель 1 «Доля граждан, получающих субсидии на оплату жилого помещения и коммунальных услуг, от общего числа жителей Северодвинска»</t>
  </si>
  <si>
    <t>Источник финансирования*</t>
  </si>
  <si>
    <t>Мероприятие (подпрограммы или административное)</t>
  </si>
  <si>
    <t>Аналитический код</t>
  </si>
  <si>
    <t>G</t>
  </si>
  <si>
    <t>Приложение № 4</t>
  </si>
  <si>
    <t>к муниципальной программе «Развитие жилищного</t>
  </si>
  <si>
    <t>Фонд содействия реформированию ЖКХ</t>
  </si>
  <si>
    <t>Отношение количества жителей Северодвинска, переселенных из аварийного жилищного фонда, к общей численности населения, проживающего в аварийном и непригодном для проживания жилищном фонде, умноженное на 100</t>
  </si>
  <si>
    <t>Мероприятие 2.01 «Выплата возмещения лицам, являющимся собственниками жилых помещений, расположенных в аварийных многоквартирных домах»</t>
  </si>
  <si>
    <t>Показатель 1 задачи 2 - доля граждан, улучшивших жилищные условия путем реализации государственных жилищных сертификатов в отчетном году, от числа граждан, состоящих на учете и имеющих право на получение государственных жилищных сертификатов</t>
  </si>
  <si>
    <t>Показатель 4 «Доля семей, улучшивших жилищные условия в отчетном году, в общей численности населения, состоящего на учете в качестве нуждающегося в жилых помещениях»</t>
  </si>
  <si>
    <t>Показатель 6 «Плотность жилого фонда»</t>
  </si>
  <si>
    <t>Показатель 3 «Протяженность введенного в эксплуатацию коллектора»</t>
  </si>
  <si>
    <t>Показатель 1 «Доля  средств федерального бюджета, выделенных муниципальному образованию «Северодвинск» в рамках  государственной программы Российской Федерации «Обеспечение доступным и комфортным жильем и коммунальными услугами граждан Российской Федерации» (в процентах от общего объема средств федерального бюджета, выделенных муниципальным образованиям Архангельской области)»</t>
  </si>
  <si>
    <t>Показатель 7 «Число объектов социальной сферы в расчете на 10 тыс. человек населения»</t>
  </si>
  <si>
    <t>Показатель 4 цели – доля семей, улучшивших жилищные условия в отчетном году, в общей численности населения, состоящего на учете в качестве нуждающегося в жилых помещениях</t>
  </si>
  <si>
    <t>Показатель 6 цели  – плотность жилого фонда</t>
  </si>
  <si>
    <t>Показатель 7 цели  - число объектов социальной сферы в расчете на 10 тыс. человек населения</t>
  </si>
  <si>
    <t>Показатель 2 задачи 2 - доля детей-сирот, детей, оставшихся без попечения родителей, и лиц из их числа, обеспеченных жилыми помещениями, от нуждающихся (в год)</t>
  </si>
  <si>
    <t xml:space="preserve">Ответственный исполнитель: Управление строительства и архитектуры Администрации Северодвинска, </t>
  </si>
  <si>
    <t>Соисполнители: Управление муниципального жилищного фонда Администрации Северодвинска,
Комитет по управлению муниципальным имуществом и земельным отношениям Администрации Северодвинска,
Комитет ЖКХ, транспорта и связи Администрации Северодвинска</t>
  </si>
  <si>
    <t>количество муниципальных услуг, предоставляемых в электронном виде</t>
  </si>
  <si>
    <t>- количество семей получивших государственные жилищные сертификаты</t>
  </si>
  <si>
    <t>- количество молодых семей, нуждающихся в улучшении жилищных условий</t>
  </si>
  <si>
    <t>Показатель 5 цели – доля «молодых семей», получивших социальные выплаты (от общего количества «молодых семей», нуждающихся в улучшении жилищных условий)</t>
  </si>
  <si>
    <t>Отношение количества молодых семей, получивших социальные выплаты к количеству молодых семей, нуждающихся в улучшении жилищных условий, умноженное на 100.</t>
  </si>
  <si>
    <t>– количество молодых семей, нуждающихся в улучшении жилищных условий, единиц</t>
  </si>
  <si>
    <t>Отношение общей площади жилых помещений, введенной в действие за год, в рамках реализации программы переселения граждан из аварийного жилищного фонда к среднегодовой численности населения Северодвинска</t>
  </si>
  <si>
    <t>- общая  площадь жилых помещений, введенная в действие за год, в рамках реализации программы переселения граждан из аварийного жилищного фонда, кв. м.</t>
  </si>
  <si>
    <t>- общая  площадь жилых помещений, введенной в действие за год, для реализации программы переселения, кв. м.</t>
  </si>
  <si>
    <t>Показатель 2 задачи 2 – уровень обеспеченности населения спортивными плоскостными сооружениями, исходя из их единовременной пропускной способности в % от установленного норматива</t>
  </si>
  <si>
    <t>Показатель 2 задачи 1– обеспеченность муниципального образования «Северодвинск» генеральными планами населенных пунктов</t>
  </si>
  <si>
    <t>Отношение общей площади жилых помещений, введенной в действие за год, к среднегодовой численности населения Северодвинска</t>
  </si>
  <si>
    <t>- общая  площадь жилых помещений, введенная в действие за год, кв. м.</t>
  </si>
  <si>
    <t>- среднегодовая численность населения, человек</t>
  </si>
  <si>
    <t>СВЕРЕНО С ГЛУХИХ</t>
  </si>
  <si>
    <t>«Развитие жилищного строительства Северодвинска на 2016–2021 годы»</t>
  </si>
  <si>
    <t>Муниципальная программа «Развитие жилищного строительства Северодвинска на 2016–2021 годы»</t>
  </si>
  <si>
    <t>Показатель 5 «Доля молодых семей, получивших социальные выплаты (от общего количества молодых семей, нуждающихся в улучшении жилищных условий)»</t>
  </si>
  <si>
    <r>
      <t>км/км</t>
    </r>
    <r>
      <rPr>
        <vertAlign val="superscript"/>
        <sz val="11"/>
        <rFont val="Times New Roman"/>
        <family val="1"/>
      </rPr>
      <t>2</t>
    </r>
  </si>
  <si>
    <t>куб.м</t>
  </si>
  <si>
    <t>Мероприятие 2.10  «Проектирование и строительство объекта «Фекальная канализационная сеть здания МБУ ДО «Детская музыкальная школа № 3»</t>
  </si>
  <si>
    <t>Показатель 2 «Доля средств областного бюджета, выделенных муниципальному образованию «Северодвинск», в рамках подпрограммы № 2 «Обеспечение жильем молодых семей» государственной программы  Архангельской области «Обеспечение качественным, доступным жильем и объектами инженерной инфраструктуры населения Архангельской области (2014–2020)»  (в процентах от общего объема средств областного бюджета, выделенных муниципальным образованиям Архангельской области)»</t>
  </si>
  <si>
    <t>Ответственный исполнитель: Управление строительства и архитектуры Администрации Северодвинска.</t>
  </si>
  <si>
    <t>Соисполнители: Управление муниципального жилищного фонда Администрации Северодвинска;
                         Комитет по управлению муниципальным имуществом и земельным отношениям Администрации Северодвинска;
                         Комитет жилищно-коммунального хозяйства, транспорта и связи Администрации Северодвинска;
                         Управление экономики Администрации Северодвинска.</t>
  </si>
  <si>
    <t>1 – федеральный бюджет; 2 – областной бюджет; 3 – местный бюджет; 4 – внебюджетные источники; 5 – государственные фонды.</t>
  </si>
  <si>
    <t>* – указана классификация источников финансирования:</t>
  </si>
  <si>
    <t>1. Обеспечение деятельности ответственного исполнителя – Управления строительства и архитектуры Администрации Северодвинска</t>
  </si>
  <si>
    <t>строительства Северодвинска на 2016–2021 годы»,</t>
  </si>
  <si>
    <t>Показатель 2 задачи 2 – площадь земельных участков, предоставленных для строительства в год в расчете на 10 тыс. чел. населения</t>
  </si>
  <si>
    <t>Расчет целевых показателей муниципальной программы 
«Развитие жилищного строительства Северодвинска на 2016 – 2021 годы»</t>
  </si>
  <si>
    <t>Показатель 3 «Количество многоквартирных домов с переходящим сроком ввода в эксплуатацию»</t>
  </si>
  <si>
    <t xml:space="preserve">Показатель 2 «Количество муниципальных контрактов с переходящим сроком подключения объектов» </t>
  </si>
  <si>
    <t>Мероприятие 2.02 «Завершение строительства крытого катка с искусственным льдом ФОК «Звездочка»</t>
  </si>
  <si>
    <t>Мероприятие 2.03 «Приобретение технологического оборудования для крытого катка с искусственным льдом ФОК «Звездочка»</t>
  </si>
  <si>
    <t>Мероприятие 2.04 «Технологическое присоединение к инженерным сетям объектов социальной инфраструктуры»</t>
  </si>
  <si>
    <t>Мероприятие 2.05 «Проектирование нового кладбища в г. Северодвинске»</t>
  </si>
  <si>
    <t>Мероприятие 2.06 «Проектирование и строительство здания фондохранилища МБУК «Северодвинский городской краеведческий музей»</t>
  </si>
  <si>
    <t>Мероприятие 2.07 «Проектирование и строительство дошкольного образовательного учреждения»</t>
  </si>
  <si>
    <t>Мероприятие 2.08 «Проектирование и строительство лыжной базы в г. Северодвинске»</t>
  </si>
  <si>
    <t>Мероприятие 1.13 «Реконструкция дороги по ул. Окружной в г. Северодвинске (участок от ул. Коммунальной до путепровода)»</t>
  </si>
  <si>
    <t>Мероприятие 1.12 «Выполнение кадастровых работ по объектам незавершенного строительства»</t>
  </si>
  <si>
    <t>Показатель 1 «Площадь подготовленной территории строительства»</t>
  </si>
  <si>
    <t>Показатель 2  «Количество контрактов на оказание услуг по строительному контролю и авторскому надзору»</t>
  </si>
  <si>
    <t>Показатель 2 «Доля площади жилых помещений, введенных в действие за год, в рамках реализации программы переселения в годовом объеме ввода жилья в Северодвинске»</t>
  </si>
  <si>
    <t xml:space="preserve">Показатель 2 задачи 1 – доля площади жилых помещений, введенных в действие за год, в рамках реализации программы переселения в годовом объеме ввода жилья в Северодвинске </t>
  </si>
  <si>
    <t xml:space="preserve"> – количество граждан получивших государственные жилищные сертификаты, человек</t>
  </si>
  <si>
    <t>– количество кварталов г. Северодвинска, в отношении которых требуется подготовка проектов планировки и межевания , единиц</t>
  </si>
  <si>
    <t>– общее количество кварталов г. Северодвинска, единиц</t>
  </si>
  <si>
    <t>Показатель 2 «Количество корректировок проектной документации»</t>
  </si>
  <si>
    <t>Показатель 3 «Протяженность участка, на котором выполнено устройство основания дороги»</t>
  </si>
  <si>
    <t>Показатель 2 «Протяженность введенного в эксплуатацию участка дороги в рамках реализации I этапа (две полосы движения из четырех)»</t>
  </si>
  <si>
    <t>Мероприятие 1.18 «Строительство коллектора ливневой канализации с установкой для очистки ливневых стоков в районе Приморского бульвара в г. Северодвинске Архангельской области»</t>
  </si>
  <si>
    <t>Мероприятие 1.19 «Строительство ливневого коллектора вдоль ул. Железнодорожной, от ул. Торцева до рефулерного озера, с устройством локальных очистных сооружений в г. Северодвинске»</t>
  </si>
  <si>
    <t>Мероприятие 2.09  «Строительство физкультурно-оздоровительного комплекса с универсальным игровым залом  42*24 м в г. Северодвинске Архангельской области»</t>
  </si>
  <si>
    <t>Мероприятие 1.02 «Реконструкция проспекта Морского от ул. Малая Кудьма до проспекта Победы г. Северодвинск»</t>
  </si>
  <si>
    <t>Показатель 3 «Количество контрактов на проведение строительного контроля»</t>
  </si>
  <si>
    <t>пог. м</t>
  </si>
  <si>
    <t>Показатель 1 «Площадь участка берегоукрепления, на котором выполнены подготовительные работы»</t>
  </si>
  <si>
    <t>км</t>
  </si>
  <si>
    <t>шт.</t>
  </si>
  <si>
    <t>Мероприятие 2.01 «Строительство каркасно-тентового сооружения на территории стадиона «Строитель» в городе Северодвинске Архангельской области»</t>
  </si>
  <si>
    <t>куб. м</t>
  </si>
  <si>
    <t>Показатель 3 «Строительный объем объекта, введенного в эксплуатацию»</t>
  </si>
  <si>
    <t>Показатель 2 «Площадь территории строительства, на которой выполнены подготовительные работы»</t>
  </si>
  <si>
    <t>Показатель 3 задачи 1 – доля исполненных решений суда о предоставлении жилых помещений гражданам, с которыми заключены договоры социального найма жилых помещений, признанных непригодными для проживания</t>
  </si>
  <si>
    <t>Отношение количества исполненных решений суда о предоставлении жилых помещений гражданам, с которыми заключены договоры социального найма жилых помещений, признанных непригодными для проживания к общему количеству решений суда о предоставлении жилых помещений гражданам, с которыми заключены договоры социального найма жилых помещений, признанных непригодными для проживания состоящих на учете в Администрации Северодвинска, планируемых к исполнению в рамках подпрограммы, умноженное на 100</t>
  </si>
  <si>
    <t>Показатель 2 «Протяженность введенного в эксплуатацию участка дороги в рамках реализации II этапа (две полосы движения из четырех)»</t>
  </si>
  <si>
    <t xml:space="preserve">га </t>
  </si>
  <si>
    <t>Показатель 2 «Площадь участка, на котором выполнена подготовка территории строительства»</t>
  </si>
  <si>
    <t>Показатель 3  «Протяженность введенных в эксплуатацию сетей ливневой канализации»</t>
  </si>
  <si>
    <t>Показатель 2  «Количество установок очистки»</t>
  </si>
  <si>
    <t>Показатель 1 «Площадь отведенного участка, на котором выполнены подготовительные работы»</t>
  </si>
  <si>
    <t>- количество исполненных решений суда о предоставлении жилых помещений гражданам, с которыми заключены договоры социального найма жилых помещений, признанных непригодными для проживания (нарастающим итогом), единиц</t>
  </si>
  <si>
    <t>- количество решений суда о предоставлении жилых помещений гражданам, с которыми заключены договоры социального найма жилых помещений, признанных непригодными для проживания, планируемых к исполнению в рамках подпрограммы, единиц</t>
  </si>
  <si>
    <t>Реконструкция проспекта Морского от ул. Малая Кудьма до проспекта Победы г. Северодвинск</t>
  </si>
  <si>
    <t>Строительство сетей холодного водоснабжения и канализации по улице Южной в городе Северодвинске Архангельской области</t>
  </si>
  <si>
    <t>Строительство ливневого коллектора по ул. Ломоносова</t>
  </si>
  <si>
    <t>Проектирование и строительство локальных очистных сооружений в районе ул. Логинова в г. Северодвинске Архангельской области</t>
  </si>
  <si>
    <t>Показатель 2 «Количество приобретенной мебели»</t>
  </si>
  <si>
    <t>ед., не менее</t>
  </si>
  <si>
    <t>Показатель 3 «Количество приобретенного спортивного оборудования и инвентаря»</t>
  </si>
  <si>
    <t>Показатель 4 «Количество приобретенной оргтехники »</t>
  </si>
  <si>
    <t>Строительство объектов инженерной инфраструктуры квартала 175 в городе Северодвинске</t>
  </si>
  <si>
    <t>Строительство коллектора ливневой канализации с установкой для очистки ливневых стоков в районе Приморского бульвара в г. Северодвинске Архангельской области</t>
  </si>
  <si>
    <t>Строительство ливневого коллектора вдоль ул. Железнодорожной, от ул. Торцева до рефулерного озера, с устройством локальных очистных сооружений в г. Северодвинске</t>
  </si>
  <si>
    <t>Показатель 3 «Доля исполненных решений суда о предоставлении жилых помещений гражданам, с которыми заключены договоры социального найма жилых помещений, признанных непригодными для проживания»</t>
  </si>
  <si>
    <t>Показатель 2 «Мощность введенных в эксплуатацию многоквартирных домов в отчетном году»</t>
  </si>
  <si>
    <t>Показатель 1 «Количество корректировок проектной документации»</t>
  </si>
  <si>
    <t xml:space="preserve">Отношение общего количества объектов социальной сферы  к среднегодовой численности населения Северодвинска, умноженное на 10000 </t>
  </si>
  <si>
    <t>Показатель 1  «Количество контрактов на приобретение технологического оборудования, выполнение работ для крытого катка с искусственным льдом ФОК «Звездочка»»</t>
  </si>
  <si>
    <t>Показатель 1  «Количество актов о технологическом присоединении»</t>
  </si>
  <si>
    <t>Административное мероприятие 2.13 «Присвоение объекту адресации адреса или аннулирование адреса»</t>
  </si>
  <si>
    <t>Показатель 1 «Количество распоряжений о присвоении объекту адресации адреса или аннулировании его адреса (в год)»</t>
  </si>
  <si>
    <t>км/га</t>
  </si>
  <si>
    <t>- площадь территории Северодвинска, га.</t>
  </si>
  <si>
    <t>Показатель 3  «Количество фундаментов»</t>
  </si>
  <si>
    <t>Административное мероприятие 2.02 «Подготовка технической документации для осуществления конкурсных процедур по разборке (сносу) аварийных   многоквартирных домов в рамках программы переселения из аварийного жилищного фонда»</t>
  </si>
  <si>
    <t>-</t>
  </si>
  <si>
    <t>Показатель 1 «Количество выданных разрешений на условно разрешенный вид использования земельных участков или объектов капитального строительства (в год)»</t>
  </si>
  <si>
    <t>Показатель 1 «Количество выданных разрешений на установку и эксплуатацию рекламных конструкций (в год)»</t>
  </si>
  <si>
    <t>Показатель 1 «Количество выданных градостроительных планов земельных участков (в год)»</t>
  </si>
  <si>
    <t>Показатель 1 «Количество выданных разрешений на ввод в эксплуатацию объектов капитального строительства (в год)»</t>
  </si>
  <si>
    <t>Показатель 1 «Количество выданных разрешений на строительство объектов капитального строительства (в год)»</t>
  </si>
  <si>
    <t>Показатель 1 «Количество рассмотренных обращений о выдаче разрешений на отклонение от предельных параметров разрешенного строительства, реконструкции объектов капитального строительства (в год)»</t>
  </si>
  <si>
    <t>Показатель 1 «Количество выданных разрешений (ордеров) на проведение (производство) земляных работ (в год)»</t>
  </si>
  <si>
    <t>Показатель 1 «Количество выданных архитектурно-планировочных заданий (в год)»</t>
  </si>
  <si>
    <t>Показатель 1 задачи 2 – общая площадь введенных в эксплуатацию жилых помещений,  приходящаяся в среднем на одного жителя (в год)</t>
  </si>
  <si>
    <t>Показатель 1 «Количество проектов постановлений (в год)»</t>
  </si>
  <si>
    <t>Мероприятие 1.16 «Проектирование и строительство локальных очистных сооружений в районе ул. Логинова»</t>
  </si>
  <si>
    <t>Показатель 1  «Количество комплектов проектной документации»</t>
  </si>
  <si>
    <t>Показатель 1 «Количество детей-сирот, обеспеченных жилыми помещениями (в год)»</t>
  </si>
  <si>
    <t>Показатель 1 «Количество  семей, улучшивших жилищные условия путем реализации государственных жилищных сертификатов (в год)»</t>
  </si>
  <si>
    <t>Показатель 1 «Количество проектной документации»</t>
  </si>
  <si>
    <t>Показатель 1  «Количество проектной документации»</t>
  </si>
  <si>
    <t>Показатель 2  «Протяженность ливневой канализации»</t>
  </si>
  <si>
    <t>Показатель 1 «Количество проектов в год»</t>
  </si>
  <si>
    <t>Показатель 1 «Количество актов о технологическом присоединении к инженерным сетям в год»</t>
  </si>
  <si>
    <t>Показатель 1 «Количество земельных участков, в отношении которых  сформирована документация об изъятии»</t>
  </si>
  <si>
    <t>Показатель 2 «Количество комплектов технической документации, направленных в Управление муниципального заказа Администрации Северодвинска,  для осуществления закупки работ по разборке (сносу) аварийных многоквартирных домов»</t>
  </si>
  <si>
    <t>Показатель 1 «Количество комплектов технической документации, направленных в Управление муниципального заказа Администрации Северодвинска, для осуществления закупки работ по выносу радиотрансляционной линии (телефонии) с подлежащих сносу аварийных многоквартирных домов»</t>
  </si>
  <si>
    <t>Показатель 2 «Обеспеченность территории муниципального образования «Северодвинск» муниципальными инженерными сетями»</t>
  </si>
  <si>
    <t>Мероприятие 1.02 «Выплата бюджетных средств, предусмотренных на исполнение судебных актов о предоставлении жилых помещений гражданам, с которыми заключены договоры социального найма жилых помещений, признанных непригодными для проживания»</t>
  </si>
  <si>
    <t>Обеспечивающая подпрограмма</t>
  </si>
  <si>
    <t>Финансовое обеспечение мероприятий по переселению из аварийного жилищного фонда (нераспределенные расходы Фонда содействия реформированию ЖКХ в рамках реализуемых этапов программы переселения)</t>
  </si>
  <si>
    <t>2. Административные мероприятия</t>
  </si>
  <si>
    <t>Показатель  «Количество обновлений»</t>
  </si>
  <si>
    <t>единиц</t>
  </si>
  <si>
    <t xml:space="preserve">Административное мероприятие 2.02 «Формирование отчета о расходовании средств Фонда, областного бюджета и местного бюджета на реализацию программы переселения согласно договору от 29.07.2013 № 17ФП-13» </t>
  </si>
  <si>
    <t>Показатель  «Количество отчетов»</t>
  </si>
  <si>
    <t>Показатель 2 «Протяженность введенного в эксплуатацию участка берегоукрепления»</t>
  </si>
  <si>
    <t xml:space="preserve">Мероприятие 1.03 «Предоставление гражданам субсидий на оплату жилого помещения и коммунальных услуг (в части субвенций местным бюджетам)» </t>
  </si>
  <si>
    <t>Показатель 2 «Протяженность выкупленной тепловой сети (нарастающим итогом)»</t>
  </si>
  <si>
    <t>Мероприятие 1.22 «Завершение строительства мостового перехода через реку Малая Кудьма на Солзенском шоссе в г. Северодвинске Архангельской области»</t>
  </si>
  <si>
    <t>Показатель 1 «Количество контрактов на выполнение технического обследования»</t>
  </si>
  <si>
    <t>Показатель 2  «Протяженность введенного в эксплуатацию мостового перехода»</t>
  </si>
  <si>
    <t>Показатель 3 «Выкупленная площадь земельного участка (нарастающим итогом)»</t>
  </si>
  <si>
    <t xml:space="preserve">Мероприятие 1.04 «Выкуп имущества, расположенного  по ул. Юбилейной, д. 25, в целях использования под маневренный фонд» </t>
  </si>
  <si>
    <t xml:space="preserve">Показатель 1 «Количество выданных свидетельств со сроком действия за пределами отчетного года» </t>
  </si>
  <si>
    <t>утвержденной постановлением Администрации Северодвинска</t>
  </si>
  <si>
    <t>Мероприятие 1.02 «Технологическое присоединение к инженерным сетям многоквартирных домов»</t>
  </si>
  <si>
    <t>Подпрограмма 2 «Развитие инженерной и социальной инфраструктуры»</t>
  </si>
  <si>
    <t>Поляков Владимир, Худякова Елена Владимировна (данные прогноза)</t>
  </si>
  <si>
    <t>Административное мероприятие 2.01 «Подготовка и выдача архитектурно-планировочных заданий»</t>
  </si>
  <si>
    <t>Административное мероприятие 2.02 «Выдача разрешений (ордеров) на проведение (производство) земляных работ»</t>
  </si>
  <si>
    <t>Административное мероприятие 2.03 «Подготовка и выдача разрешений на отклонение от предельных параметров разрешенного строительства, реконструкции объектов капитального строительства»</t>
  </si>
  <si>
    <t>Административное мероприятие 2.04 «Подготовка и выдача разрешений на строительство объектов капитального строительства»</t>
  </si>
  <si>
    <t>Административное мероприятие 2.05 «Предоставление сведений из информационной системы обеспечения градостроительной деятельности»</t>
  </si>
  <si>
    <t>Административное мероприятие 2.06 «Подготовка и выдача разрешений на ввод в эксплуатацию объектов капитального строительства»</t>
  </si>
  <si>
    <t>Административное мероприятие 2.07 «Рассмотрение предложений физических и юридических лиц о внесении изменений в правила землепользования и застройки»</t>
  </si>
  <si>
    <t>Административное мероприятие 2.08 «Рассмотрение предложений физических и юридических лиц о подготовке документации по планировке территории»</t>
  </si>
  <si>
    <t>Отдел учета и распределения жилья Коржова Е.В. УМЖФ</t>
  </si>
  <si>
    <t>Административное мероприятие 2.09 «Рассмотрение предложений физических и юридических лиц о внесении изменений в генеральный план Северодвинска»</t>
  </si>
  <si>
    <t>Показатель 1 «Количество рассмотренных заявлений физических и юридических лиц о внесении изменений в правила землепользования и застройки (в год)»</t>
  </si>
  <si>
    <t>Показатель 1 «Количество рассмотренных заявлений физических и юридических лиц о подготовке документации по планировке территории (в год)»</t>
  </si>
  <si>
    <t>Показатель 1 «Количество рассмотренных заявлений физических и юридических лиц о внесении изменений в генеральный план Северодвинска (в год)»</t>
  </si>
  <si>
    <t>Административное мероприятие 2.10 «Подготовка и выдача разрешений на условно разрешенный вид использования земельных участков или объектов капитального строительства»</t>
  </si>
  <si>
    <t>Административное мероприятие 2.11 «Подготовка и выдача разрешения на установку и эксплуатацию рекламных конструкций»</t>
  </si>
  <si>
    <t>Административное мероприятие 2.12 «Подготовка и выдача градостроительного плана земельного участка»</t>
  </si>
  <si>
    <t>Подпрограмма 4 «Обеспечение жильем молодых семей»</t>
  </si>
  <si>
    <t>Подпрограмма 5 «Повышение уровня обеспеченности жильем жителей Северодвинска, нуждающихся в улучшении жилищных условий»</t>
  </si>
  <si>
    <t>Кириллов Антон Михайлович</t>
  </si>
  <si>
    <t>Подпрограмма 1 «Содействие развитию жилищного строительства Северодвинска»</t>
  </si>
  <si>
    <t>Задача 1 «Обеспечение условий для строительства жилья в Северодвинске»</t>
  </si>
  <si>
    <t>Показатель 1 «Площадь выкупаемых у собственников жилых помещений»</t>
  </si>
  <si>
    <t>Показатель 1 «Количество контрактов на корректировку проектной документации»</t>
  </si>
  <si>
    <t>Мероприятие 1.21 «Строительство окружной дороги (соединение ул. Окружной с ул. Юбилейной) в г. Северодвинске»</t>
  </si>
  <si>
    <t xml:space="preserve">Мероприятие 1.01 «Строительство автомобильной дороги к селу Ненокса от автодороги «Северодвинск – Онега» </t>
  </si>
  <si>
    <t>Показатель 2 «Площадь восстановленного асфальтобетонного покрытия»</t>
  </si>
  <si>
    <t>Задача 2 «Переселение граждан из аварийного жилищного фонда»</t>
  </si>
  <si>
    <t>Отношение площади земельных участков, предоставленных для строительства в год к среднегодовой численности населения Северодвинска, умноженное на 10 000</t>
  </si>
  <si>
    <t>Показатель 1 «Количество семей, улучшивших жилищные условия за счет получения субсидии из местного бюджета»</t>
  </si>
  <si>
    <t>Мероприятие 1.03 «Реконструкция проспекта Победы на участке от ул. Кирилкина до пр. Морской г. Северодвинск»</t>
  </si>
  <si>
    <t xml:space="preserve">Задача 2 «Реализация градостроительной политики» </t>
  </si>
  <si>
    <t>Подпрограмма 3 «Развитие градостроительства»</t>
  </si>
  <si>
    <t>Мероприятие 1.01 «Проектирование и строительство многоквартирных домов»</t>
  </si>
  <si>
    <t>Мероприятие 1.01 «Разработка проекта генерального плана г. Северодвинска»</t>
  </si>
  <si>
    <t>Административное мероприятие 2.03 «Подготовка проектов постановлений Администрации Северодвинска о предоставлении жилых помещений детям-сиротам, детям, оставшимся без попечения родителей, и лицам из их числа»</t>
  </si>
  <si>
    <t>Показатель 1  «Количество кадастровых паспортов»</t>
  </si>
  <si>
    <t>Мероприятие 1.07 «Реконструкция моста через Никольское устье Северной Двины в г. Северодвинске»</t>
  </si>
  <si>
    <t>Административное мероприятие 2.01 «Размещение и обновление информации о ходе реализации программы переселения на официальном интернет-сайте Администрации Северодвинска»</t>
  </si>
  <si>
    <t>Мероприятие 1.09 «Проектирование и строительство инженерных сетей»</t>
  </si>
  <si>
    <t>Показатель 3 «Количество контрактов на выполнение работ по корректировке проектной документации»</t>
  </si>
  <si>
    <t>Показатель 2  «Площадь установленного каркасно-тентового сооружения»</t>
  </si>
  <si>
    <t>Показатель 1 «Протяженность установленной шпунтовой стенки»</t>
  </si>
  <si>
    <t>Показатель 3  «Строительный объем введенного в эксплуатацию сооружения»</t>
  </si>
  <si>
    <t>Мероприятие 1.20 «Реконструкция берегоукрепительных сооружений на о. Ягры в г. Северодвинске (1 этап)»</t>
  </si>
  <si>
    <t xml:space="preserve">Мероприятие 1.01 «Предоставление гражданам   субсидий  на  строительство и приобретение жилья» </t>
  </si>
  <si>
    <t>Показатель 2 «Протяженность введенного в эксплуатацию участка набережной»</t>
  </si>
  <si>
    <t>Показатель 1 «Протяженность сетей хозяйственно-бытовой канализации»</t>
  </si>
  <si>
    <t>Мероприятие 2.03 «Выполнение мероприятий по переселению собственников жилых помещений из аварийного жилищного фонда в рамках программы переселения»</t>
  </si>
  <si>
    <t>Показатель 2 «Количество соглашений об изъятии недвижимого имущества, прошедших процедуру нотариального удостоверения»</t>
  </si>
  <si>
    <t>Показатель 3 «Протяженность введенного в эксплуатацию участка дороги в рамках реализации II этапа (две полосы движения из четырех)»</t>
  </si>
  <si>
    <t>Показатель 3 «Количество контрактов на оценку рыночной стоимости недвижимого имущества»</t>
  </si>
  <si>
    <t>Мероприятие 1.10 «Обеспечение территории комплексной жилой застройки объектами инженерной инфраструктуры»</t>
  </si>
  <si>
    <t>Показатель 1 «Доля градостроительных кварталов, в отношении которых требуется подготовка проектов планировки и межевания»</t>
  </si>
  <si>
    <t>кв. м/га</t>
  </si>
  <si>
    <t>Показатель 1 задачи 2 - доля жилых помещений, выкупаемых у собственников в рамках программы переселения, в общей  площади аварийного жилищного фонда</t>
  </si>
  <si>
    <t>Отношение площади жилых помещений, выкупаемых у собственников в рамках программы переселения, к общей  площади аварийного жилищного фонда,  умноженное на 100</t>
  </si>
  <si>
    <t>м</t>
  </si>
  <si>
    <t>Показатель 1 «Протяженность участка дороги,  на котором выполнены работы»</t>
  </si>
  <si>
    <t>– площадь жилых помещений, выкупаемых у собственников в рамках программы переселения (значения на 2018-2021 годы предусмотрены при условии продления программы переселения граждан из аварийного жилищного фонда ) , кв. м</t>
  </si>
  <si>
    <t>- общая  площадь аварийного жилищного фонда, кв.м</t>
  </si>
  <si>
    <t>Показатель 1 «Доля жилых помещений, выкупаемых у собственников в рамках программы переселения, в общей  площади аварийного жилищного фонда»</t>
  </si>
  <si>
    <t>Количество общей площади, приходящейся на 1 га жилой территории</t>
  </si>
  <si>
    <t>Годы реализации муниципальной программы</t>
  </si>
  <si>
    <t>10</t>
  </si>
  <si>
    <t>Мероприятие 1.04 «Строительство дороги по продлению проспекта Морского от проспекта Победы до пересечения с Солзенским шоссе в г. Северодвинске»</t>
  </si>
  <si>
    <t>Показатель 2 «Площадь подготовленной территории»</t>
  </si>
  <si>
    <t>- численность жителей Северодвинска, переселенных из аварийного жилищного фонда (значения на 2018-2021 годы предусмотрены с учетом строительства жилых домов для переселения граждан из аварийного жилищного фонда ), человек</t>
  </si>
  <si>
    <t>нет</t>
  </si>
  <si>
    <t>Показатель 1 «Количество исполненных решений суда о переселении граждан из ветхого и аварийного жилищного фонда»</t>
  </si>
  <si>
    <t>Мероприятие 1.05 «Реконструкция автомобильной дороги по Банному переулку с устройством ливневой канализации в городе Северодвинске»</t>
  </si>
  <si>
    <t>Показатель 2 «Протяженность участка строительства, на котором выполнено устройство трубопровода ливневой канализации»</t>
  </si>
  <si>
    <t>Мероприятие 1.06 «Строительство берегоукрепительных сооружений набережной реки Кудьма в городе Северодвинске (I очереди I этапа берегоукрепительных сооружений)»</t>
  </si>
  <si>
    <t xml:space="preserve">Мероприятие 1.08 «Строительство объекта «Канализационный самотечный коллектор на пр. Беломорском в г. Северодвинске Архангельской области»                               </t>
  </si>
  <si>
    <t xml:space="preserve">пог. м </t>
  </si>
  <si>
    <t>Мероприятие 1.11 «Проектирование и строительство ливневой канализации вдоль улицы Портовой на участке от Архангельского шоссе до ул. Первомайской в городе Северодвинске Архангельской области»</t>
  </si>
  <si>
    <t>Отношение длины всей дорожной сети Северодвинска к площади территории Северодвинска, умноженное на 100</t>
  </si>
  <si>
    <t>х</t>
  </si>
  <si>
    <t>Показатель 2 «Количество контрактов на проведение строительного контроля»</t>
  </si>
  <si>
    <t>N - норматив обеспеченности спортивными плоскостными сооружениями на 10тыс. человек населения (19,5 тыс. кв.км.)</t>
  </si>
  <si>
    <t>Показатель 1 «Количество проектов планировки территорий кварталов»</t>
  </si>
  <si>
    <t>Показатель 1 «Общая площадь введенных в эксплуатацию жилых помещений,  приходящаяся в среднем на одного жителя (в год)»</t>
  </si>
  <si>
    <t>Показатель 1  «Количество благоустроенных участков на территории катка»</t>
  </si>
  <si>
    <t>Показатель 4  «Общая площадь здания»</t>
  </si>
  <si>
    <t>Показатель 3 «Количество фундаментов»</t>
  </si>
  <si>
    <t>Показатель 1 «Протяженность введенного в эксплуатацию участка дороги в рамках реализации I этапа (две полосы движения из четырех)»</t>
  </si>
  <si>
    <t>Характеристика муниципальной программы Северодвинска</t>
  </si>
  <si>
    <t>Цель 1 «Повышение доступности жилья и качества жилищного обеспечения для населения муниципального образования «Северодвинск»</t>
  </si>
  <si>
    <t>Строительный отдел Чуркин А.Г.</t>
  </si>
  <si>
    <t>Отдел муниципальной собственности Гладышева Н.А. КУМИЗО</t>
  </si>
  <si>
    <t>Отдел жилищного хозяйства Кривощекова Л.С. КЖКХ,ТиС</t>
  </si>
  <si>
    <t>Строительный отдел                        Чуркин А.Г. УСиА</t>
  </si>
  <si>
    <t>Отдел архитектуры и градостроительства                          Кириллов А.М. УСиА</t>
  </si>
  <si>
    <t>Отдел учета и распределения жилья Паунина О.И. УМЖФ</t>
  </si>
  <si>
    <t>Отдел учета и распределения жилья                                             Григорьева А.В. УМЖФ</t>
  </si>
  <si>
    <t>Мероприятие 1.03 «Предоставление социальных выплат молодым семьям (в рамках текущего финансового года)»</t>
  </si>
  <si>
    <t>Мероприятие 1.04 «Предоставление социальных выплат молодым семьям (реализация выданных свидетельств в установленный законодательством срок)»</t>
  </si>
  <si>
    <t xml:space="preserve">Показатель 1 «Количество молодых семей, улучшивших жилищные условия с помощью социальных выплат в рамках текущего финансового года» </t>
  </si>
  <si>
    <t>Показатель 1 «Количество комплектов проектной документации»</t>
  </si>
  <si>
    <t>Показатель 2 «Уровень обеспеченности населения спортивными плоскостными сооружениями, исходя из их единовременной пропускной способности в % от установленного норматива»</t>
  </si>
  <si>
    <t>Показатель 1 «Площадь асфальтобетонного покрытия проезжей части»</t>
  </si>
  <si>
    <t>Отдел субсидий                          Кузнецова Н.Г. УМЖФ</t>
  </si>
  <si>
    <t>УМЖФ</t>
  </si>
  <si>
    <t>Показатель 2 «Доля жителей Северодвинска, переселенных из аварийного жилищного фонда, в общей численности населения, проживающего в аварийном и непригодном для проживания жилищном фонде»</t>
  </si>
  <si>
    <t>Показатель 2 задачи 2 - доля жителей Северодвинска, переселенных из аварийного жилищного фонда, в общей численности населения, проживающего в аварийном и непригодном для проживания жилищном фонде</t>
  </si>
  <si>
    <t>Показатель 2 «Общая площадь жилищного фонда муниципального образования «Северодвинск» в расчете на одного жителя Северодвинска»</t>
  </si>
  <si>
    <t>Отдел учета и распределения жилья Потапова Т.А. УМЖФ</t>
  </si>
  <si>
    <t>Отдел по работе с нанимателями                           Третьякова О.А. УМЖФ</t>
  </si>
  <si>
    <t>Показатель 1 «Количество рассмотренных заявлений о предоставлении сведений из информационной системы обеспечения градостроительной деятельности (в год)»</t>
  </si>
  <si>
    <t>Отдел по работе с нанимателями                                 Третьякова О.А. УМЖФ</t>
  </si>
  <si>
    <t>Наименование целевого показателя</t>
  </si>
  <si>
    <t>Расчет показателей</t>
  </si>
  <si>
    <t>Значения целевых показателей</t>
  </si>
  <si>
    <t>Базовый</t>
  </si>
  <si>
    <t>2015 год</t>
  </si>
  <si>
    <t>год</t>
  </si>
  <si>
    <t>Годовой объем ввода жилья в Северодвинске, кв. м.</t>
  </si>
  <si>
    <t>- среднегодовая численности населения, человек</t>
  </si>
  <si>
    <t>- общая площадь жилых помещений в аварийных домах, кв.м</t>
  </si>
  <si>
    <t>70499,4</t>
  </si>
  <si>
    <t>4 917 020,3</t>
  </si>
  <si>
    <t>822</t>
  </si>
  <si>
    <t>– количество населенных пунктов муниципального образования «Северодвинск», единиц.</t>
  </si>
  <si>
    <t>12</t>
  </si>
  <si>
    <t>– количество генеральных планов населенных пунктов, единиц.</t>
  </si>
  <si>
    <t>кв. м.</t>
  </si>
  <si>
    <t>- протяженность дорог, км.</t>
  </si>
  <si>
    <t>- протяженность дорог, построенных за год, км.</t>
  </si>
  <si>
    <t>Показатель 2 задачи 1 – обеспеченность территории муниципального образования «Северодвинск» муниципальными инженерными сетями</t>
  </si>
  <si>
    <t>– протяженность муниципальных инженерных сетей, км</t>
  </si>
  <si>
    <t>626,325</t>
  </si>
  <si>
    <t>Мероприятие 2.02 «Предоставление жилых помещений детям-сиротам, детям, оставшимся без попечения родителей, и лицам из их числа»</t>
  </si>
  <si>
    <t>Показатель 1 задачи 1 – доля градостроительных кварталов, в отношении которых требуется подготовка проектов планировки и межевания</t>
  </si>
  <si>
    <t>Отношение количества кварталов, в отношении которых требуется подготовка проектов планировки и межевания к общему количеству кварталов муниципального образования «Северодвинск», умноженное на 100</t>
  </si>
  <si>
    <t>51</t>
  </si>
  <si>
    <t>212</t>
  </si>
  <si>
    <t>- площадь территории муниципального образования «Северодвинск», га</t>
  </si>
  <si>
    <t xml:space="preserve"> – площадь земельных участков, предоставленных для строительства в год, га</t>
  </si>
  <si>
    <t>УЭ_ОМПиРП Селиванова Е.Л.</t>
  </si>
  <si>
    <t>Показатель 1  «Количество инвестиционных проектов, по которым выполнено обоснование»</t>
  </si>
  <si>
    <t>Показатель 2 «Доля детей-сирот, детей, оставшихся без попечения родителей, и лиц из их числа, обеспеченных жилыми помещениями, от нуждающихся (в год)»</t>
  </si>
  <si>
    <t>Показатель 1 «Объем земляных работ с устройством насыпи»</t>
  </si>
  <si>
    <t>Отношение фактической общей площади спортивных плоскостных сооружений муниципального образования «Северодвинск» к нормативной, умноженное на 100</t>
  </si>
  <si>
    <t>– фактическая общая площадь спортивных плоскостных сооружений муниципального образования «Северодвинск», тыс. кв. м</t>
  </si>
  <si>
    <t>– нормативная площадь спортивных плоскостных сооружений муниципального образования «Северодвинск», тыс. кв. м</t>
  </si>
  <si>
    <t>S = N x (C/10000), где:
S - нормативная площадь спортивных плоскостных сооружений муниципального образования «Северодвинск» , тыс. кв. м</t>
  </si>
  <si>
    <t>– количество молодых семей, получивших социальные выплаты, единиц</t>
  </si>
  <si>
    <t>Показатель 2 задачи 1– доля  средств областного бюджета, выделенных муниципальному образованию «Северодвинск», в рамках подпрограммы «Обеспечение жильем молодых семей» государственной программы  Архангельской области «Обеспечение качественным, доступным жильем и объектами инженерной инфраструктуры населения Архангельской области (2014-2020)»  (в процентах от общего объема средств областного бюджета, выделенных муниципальным образованиям Архангельской области)</t>
  </si>
  <si>
    <t>Отношение объема средств областного бюджета, выделенных на реализацию подпрограммы муниципальному образованию «Северодвинск» к объему средств областного бюджета, выделенных на реализацию подпрограммы муниципальным образованиям Архангельской области, умноженное на 100</t>
  </si>
  <si>
    <t>- среднегодовая численности населения, человек</t>
  </si>
  <si>
    <t>–объем средств областного бюджета, выделенных на реализацию подпрограммы муниципальным образованиям Архангельской области, руб.</t>
  </si>
  <si>
    <t xml:space="preserve"> – объем средств областного бюджета, выделенных на реализацию подпрограммы муниципальному образованию «Северодвинск», руб.</t>
  </si>
  <si>
    <t xml:space="preserve">от 08.06.2016 № 184-па  (в редакции от                 №            )                            </t>
  </si>
  <si>
    <t>Показатель 1 задачи 1 – доля граждан, получающих субсидии на оплату жилого помещения и коммунальных услуг, от общего числа жителей Северодвинска</t>
  </si>
  <si>
    <t>Отношение количества граждан, получивших субсидии к среднегодовой численности населения Северодвинска, умноженное на 100</t>
  </si>
  <si>
    <t>Отношение протяженности муниципальных инженерных сетей к площади территории муниципального образования «Северодвинск», умноженное на 100</t>
  </si>
  <si>
    <t>– количество граждан, получивших субсидии, человек</t>
  </si>
  <si>
    <t>– количество семей, получивших субсидии на строительство и приобретение жилья, единиц</t>
  </si>
  <si>
    <t xml:space="preserve">Строительство «Автозимника к селу Ненокса от автодороги «Северодвинск-Онега» 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</si>
</sst>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_-* #,##0.0_р_._-;\-* #,##0.0_р_._-;_-* &quot;-&quot;??_р_._-;_-@_-"/>
    <numFmt numFmtId="183" formatCode="_-* #,##0.0_р_._-;\-* #,##0.0_р_._-;_-* &quot;-&quot;?_р_._-;_-@_-"/>
    <numFmt numFmtId="184" formatCode="#,##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"/>
    <numFmt numFmtId="190" formatCode="0.00000"/>
    <numFmt numFmtId="191" formatCode="0.0000"/>
    <numFmt numFmtId="192" formatCode="0.000"/>
    <numFmt numFmtId="193" formatCode="0.00000000"/>
    <numFmt numFmtId="194" formatCode="0.0000000"/>
    <numFmt numFmtId="195" formatCode="#,##0.0000"/>
    <numFmt numFmtId="196" formatCode="000000"/>
    <numFmt numFmtId="197" formatCode="0.0000000000"/>
    <numFmt numFmtId="198" formatCode="0.000000000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#,##0.00;[Red]\-#,##0.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9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2"/>
      <name val="Arial Cyr"/>
      <family val="0"/>
    </font>
    <font>
      <sz val="10"/>
      <name val="Calibri"/>
      <family val="2"/>
    </font>
    <font>
      <sz val="8"/>
      <name val="Times New Roman"/>
      <family val="1"/>
    </font>
    <font>
      <sz val="11"/>
      <name val="Calibri"/>
      <family val="0"/>
    </font>
    <font>
      <sz val="11"/>
      <color indexed="9"/>
      <name val="Calibri"/>
      <family val="0"/>
    </font>
    <font>
      <sz val="11"/>
      <color indexed="16"/>
      <name val="Calibri"/>
      <family val="0"/>
    </font>
    <font>
      <b/>
      <sz val="11"/>
      <color indexed="53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indexed="62"/>
      <name val="Calibri"/>
      <family val="0"/>
    </font>
    <font>
      <sz val="11"/>
      <color indexed="53"/>
      <name val="Calibri"/>
      <family val="0"/>
    </font>
    <font>
      <sz val="11"/>
      <color indexed="19"/>
      <name val="Calibri"/>
      <family val="0"/>
    </font>
    <font>
      <b/>
      <sz val="11"/>
      <color indexed="63"/>
      <name val="Calibri"/>
      <family val="0"/>
    </font>
    <font>
      <b/>
      <sz val="18"/>
      <color indexed="62"/>
      <name val="Cambria"/>
      <family val="0"/>
    </font>
    <font>
      <b/>
      <sz val="11"/>
      <name val="Calibri"/>
      <family val="0"/>
    </font>
    <font>
      <sz val="11"/>
      <color indexed="10"/>
      <name val="Calibri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vertAlign val="superscript"/>
      <sz val="11"/>
      <name val="Times New Roman"/>
      <family val="1"/>
    </font>
    <font>
      <b/>
      <sz val="12"/>
      <name val="Times New Roman"/>
      <family val="1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9" fillId="5" borderId="0" applyNumberFormat="0" applyBorder="0" applyAlignment="0" applyProtection="0"/>
    <xf numFmtId="0" fontId="20" fillId="21" borderId="1" applyNumberFormat="0" applyAlignment="0" applyProtection="0"/>
    <xf numFmtId="0" fontId="21" fillId="20" borderId="2" applyNumberFormat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8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17" fillId="3" borderId="7" applyNumberFormat="0" applyFont="0" applyAlignment="0" applyProtection="0"/>
    <xf numFmtId="0" fontId="30" fillId="2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6" borderId="0" applyNumberFormat="0" applyBorder="0" applyAlignment="0" applyProtection="0"/>
    <xf numFmtId="0" fontId="27" fillId="8" borderId="1" applyNumberFormat="0" applyAlignment="0" applyProtection="0"/>
    <xf numFmtId="0" fontId="30" fillId="9" borderId="8" applyNumberFormat="0" applyAlignment="0" applyProtection="0"/>
    <xf numFmtId="0" fontId="34" fillId="9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21" fillId="20" borderId="2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4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3" borderId="7" applyNumberFormat="0" applyFont="0" applyAlignment="0" applyProtection="0"/>
    <xf numFmtId="9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justify" vertical="center" wrapText="1"/>
    </xf>
    <xf numFmtId="181" fontId="2" fillId="0" borderId="14" xfId="0" applyNumberFormat="1" applyFont="1" applyFill="1" applyBorder="1" applyAlignment="1">
      <alignment horizontal="right" vertical="center" wrapText="1"/>
    </xf>
    <xf numFmtId="181" fontId="2" fillId="0" borderId="14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>
      <alignment horizontal="right" vertical="center" wrapText="1"/>
    </xf>
    <xf numFmtId="1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justify" wrapText="1"/>
    </xf>
    <xf numFmtId="0" fontId="2" fillId="0" borderId="14" xfId="0" applyFont="1" applyFill="1" applyBorder="1" applyAlignment="1">
      <alignment horizontal="justify" vertical="top" wrapText="1"/>
    </xf>
    <xf numFmtId="0" fontId="2" fillId="0" borderId="14" xfId="0" applyFont="1" applyFill="1" applyBorder="1" applyAlignment="1">
      <alignment horizontal="left" wrapText="1" indent="2"/>
    </xf>
    <xf numFmtId="181" fontId="4" fillId="0" borderId="14" xfId="0" applyNumberFormat="1" applyFont="1" applyFill="1" applyBorder="1" applyAlignment="1">
      <alignment horizontal="right" vertical="center" wrapText="1"/>
    </xf>
    <xf numFmtId="181" fontId="2" fillId="0" borderId="14" xfId="0" applyNumberFormat="1" applyFont="1" applyFill="1" applyBorder="1" applyAlignment="1">
      <alignment/>
    </xf>
    <xf numFmtId="180" fontId="2" fillId="0" borderId="14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top" wrapText="1"/>
    </xf>
    <xf numFmtId="181" fontId="2" fillId="0" borderId="14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3" fontId="2" fillId="0" borderId="14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right" vertical="center" wrapText="1"/>
    </xf>
    <xf numFmtId="184" fontId="2" fillId="0" borderId="14" xfId="0" applyNumberFormat="1" applyFont="1" applyFill="1" applyBorder="1" applyAlignment="1">
      <alignment horizontal="right" vertical="center"/>
    </xf>
    <xf numFmtId="184" fontId="2" fillId="0" borderId="14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/>
    </xf>
    <xf numFmtId="1" fontId="2" fillId="0" borderId="14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justify" vertical="top" wrapText="1"/>
    </xf>
    <xf numFmtId="181" fontId="11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justify" wrapText="1"/>
    </xf>
    <xf numFmtId="49" fontId="2" fillId="0" borderId="14" xfId="0" applyNumberFormat="1" applyFont="1" applyFill="1" applyBorder="1" applyAlignment="1">
      <alignment horizontal="left" wrapText="1" indent="1"/>
    </xf>
    <xf numFmtId="0" fontId="2" fillId="0" borderId="14" xfId="0" applyFont="1" applyFill="1" applyBorder="1" applyAlignment="1">
      <alignment horizontal="justify" vertical="center" wrapText="1"/>
    </xf>
    <xf numFmtId="181" fontId="2" fillId="0" borderId="14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justify"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11" fontId="2" fillId="0" borderId="16" xfId="0" applyNumberFormat="1" applyFont="1" applyFill="1" applyBorder="1" applyAlignment="1">
      <alignment horizontal="justify" vertical="top" wrapText="1"/>
    </xf>
    <xf numFmtId="0" fontId="2" fillId="0" borderId="16" xfId="0" applyFont="1" applyFill="1" applyBorder="1" applyAlignment="1">
      <alignment horizontal="justify" vertical="top" wrapText="1"/>
    </xf>
    <xf numFmtId="180" fontId="2" fillId="0" borderId="15" xfId="0" applyNumberFormat="1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center" wrapText="1"/>
    </xf>
    <xf numFmtId="11" fontId="2" fillId="0" borderId="14" xfId="0" applyNumberFormat="1" applyFont="1" applyFill="1" applyBorder="1" applyAlignment="1">
      <alignment horizontal="justify" vertical="top" wrapText="1"/>
    </xf>
    <xf numFmtId="180" fontId="2" fillId="0" borderId="14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192" fontId="2" fillId="0" borderId="14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wrapText="1"/>
    </xf>
    <xf numFmtId="180" fontId="4" fillId="0" borderId="14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center" wrapText="1"/>
    </xf>
    <xf numFmtId="181" fontId="16" fillId="0" borderId="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81" fontId="5" fillId="0" borderId="14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81" fontId="2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181" fontId="2" fillId="0" borderId="15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81" fontId="11" fillId="0" borderId="15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top" wrapText="1"/>
    </xf>
    <xf numFmtId="1" fontId="2" fillId="0" borderId="14" xfId="0" applyNumberFormat="1" applyFont="1" applyFill="1" applyBorder="1" applyAlignment="1">
      <alignment horizontal="center" vertical="center" wrapText="1"/>
    </xf>
    <xf numFmtId="180" fontId="2" fillId="0" borderId="14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top" wrapText="1"/>
    </xf>
    <xf numFmtId="1" fontId="2" fillId="0" borderId="17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181" fontId="7" fillId="0" borderId="14" xfId="0" applyNumberFormat="1" applyFont="1" applyFill="1" applyBorder="1" applyAlignment="1">
      <alignment horizontal="right" vertical="center"/>
    </xf>
    <xf numFmtId="181" fontId="7" fillId="0" borderId="14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181" fontId="2" fillId="0" borderId="15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3" fontId="2" fillId="0" borderId="14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1" fontId="4" fillId="0" borderId="14" xfId="0" applyNumberFormat="1" applyFont="1" applyFill="1" applyBorder="1" applyAlignment="1">
      <alignment horizontal="right" vertical="center" wrapText="1"/>
    </xf>
    <xf numFmtId="181" fontId="2" fillId="0" borderId="14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181" fontId="4" fillId="0" borderId="14" xfId="0" applyNumberFormat="1" applyFont="1" applyFill="1" applyBorder="1" applyAlignment="1">
      <alignment horizontal="center" vertical="center" wrapText="1"/>
    </xf>
    <xf numFmtId="180" fontId="2" fillId="0" borderId="14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 horizontal="right" vertical="center"/>
    </xf>
    <xf numFmtId="181" fontId="2" fillId="0" borderId="18" xfId="0" applyNumberFormat="1" applyFont="1" applyFill="1" applyBorder="1" applyAlignment="1">
      <alignment horizontal="right" vertical="center"/>
    </xf>
    <xf numFmtId="1" fontId="4" fillId="0" borderId="14" xfId="94" applyNumberFormat="1" applyFont="1" applyFill="1" applyBorder="1" applyAlignment="1">
      <alignment horizontal="right" vertical="center" wrapText="1"/>
      <protection/>
    </xf>
    <xf numFmtId="0" fontId="6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49" fontId="4" fillId="0" borderId="14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right" wrapText="1"/>
    </xf>
    <xf numFmtId="4" fontId="2" fillId="0" borderId="14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>
      <alignment/>
    </xf>
    <xf numFmtId="192" fontId="2" fillId="0" borderId="14" xfId="0" applyNumberFormat="1" applyFont="1" applyFill="1" applyBorder="1" applyAlignment="1">
      <alignment horizontal="center" vertical="center" wrapText="1"/>
    </xf>
    <xf numFmtId="180" fontId="11" fillId="0" borderId="14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right" vertical="center" wrapText="1"/>
    </xf>
    <xf numFmtId="0" fontId="2" fillId="27" borderId="14" xfId="0" applyFont="1" applyFill="1" applyBorder="1" applyAlignment="1">
      <alignment horizontal="left" vertical="top" wrapText="1"/>
    </xf>
    <xf numFmtId="0" fontId="2" fillId="27" borderId="14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center" vertical="top" wrapText="1"/>
    </xf>
    <xf numFmtId="181" fontId="2" fillId="0" borderId="14" xfId="0" applyNumberFormat="1" applyFont="1" applyFill="1" applyBorder="1" applyAlignment="1">
      <alignment horizontal="right" wrapText="1"/>
    </xf>
    <xf numFmtId="0" fontId="2" fillId="0" borderId="19" xfId="0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justify" vertical="center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44" fillId="0" borderId="0" xfId="0" applyNumberFormat="1" applyFont="1" applyFill="1" applyBorder="1" applyAlignment="1">
      <alignment/>
    </xf>
    <xf numFmtId="181" fontId="2" fillId="0" borderId="0" xfId="0" applyNumberFormat="1" applyFont="1" applyFill="1" applyBorder="1" applyAlignment="1">
      <alignment/>
    </xf>
    <xf numFmtId="181" fontId="2" fillId="0" borderId="17" xfId="0" applyNumberFormat="1" applyFont="1" applyFill="1" applyBorder="1" applyAlignment="1">
      <alignment horizontal="right" vertical="center" wrapText="1"/>
    </xf>
    <xf numFmtId="181" fontId="2" fillId="0" borderId="17" xfId="0" applyNumberFormat="1" applyFont="1" applyFill="1" applyBorder="1" applyAlignment="1">
      <alignment horizontal="right" wrapText="1"/>
    </xf>
    <xf numFmtId="180" fontId="2" fillId="0" borderId="17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 horizontal="right" vertical="center" wrapText="1"/>
    </xf>
    <xf numFmtId="3" fontId="2" fillId="0" borderId="17" xfId="0" applyNumberFormat="1" applyFont="1" applyFill="1" applyBorder="1" applyAlignment="1">
      <alignment horizontal="right" wrapText="1"/>
    </xf>
    <xf numFmtId="3" fontId="2" fillId="0" borderId="18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181" fontId="2" fillId="0" borderId="18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180" fontId="2" fillId="0" borderId="14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right" vertical="center" wrapText="1"/>
    </xf>
    <xf numFmtId="4" fontId="2" fillId="0" borderId="14" xfId="102" applyNumberFormat="1" applyFont="1" applyFill="1" applyBorder="1" applyAlignment="1">
      <alignment horizontal="right" vertical="center" wrapText="1"/>
    </xf>
    <xf numFmtId="3" fontId="2" fillId="0" borderId="15" xfId="0" applyNumberFormat="1" applyFont="1" applyFill="1" applyBorder="1" applyAlignment="1">
      <alignment horizontal="right" vertical="center" wrapText="1"/>
    </xf>
    <xf numFmtId="181" fontId="2" fillId="0" borderId="16" xfId="102" applyNumberFormat="1" applyFont="1" applyFill="1" applyBorder="1" applyAlignment="1">
      <alignment horizontal="right" vertical="center" wrapText="1"/>
    </xf>
    <xf numFmtId="181" fontId="2" fillId="0" borderId="18" xfId="0" applyNumberFormat="1" applyFont="1" applyFill="1" applyBorder="1" applyAlignment="1">
      <alignment horizontal="right" vertical="center" wrapText="1"/>
    </xf>
    <xf numFmtId="181" fontId="2" fillId="0" borderId="21" xfId="102" applyNumberFormat="1" applyFont="1" applyFill="1" applyBorder="1" applyAlignment="1">
      <alignment horizontal="right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right" vertical="center" wrapText="1"/>
    </xf>
    <xf numFmtId="181" fontId="2" fillId="0" borderId="22" xfId="0" applyNumberFormat="1" applyFont="1" applyFill="1" applyBorder="1" applyAlignment="1">
      <alignment horizontal="right" vertical="center" wrapText="1"/>
    </xf>
    <xf numFmtId="181" fontId="2" fillId="0" borderId="17" xfId="0" applyNumberFormat="1" applyFont="1" applyFill="1" applyBorder="1" applyAlignment="1">
      <alignment horizontal="right" vertical="center"/>
    </xf>
    <xf numFmtId="181" fontId="2" fillId="0" borderId="14" xfId="102" applyNumberFormat="1" applyFont="1" applyFill="1" applyBorder="1" applyAlignment="1">
      <alignment horizontal="right" vertical="center" wrapText="1"/>
    </xf>
    <xf numFmtId="3" fontId="2" fillId="0" borderId="14" xfId="102" applyNumberFormat="1" applyFont="1" applyFill="1" applyBorder="1" applyAlignment="1">
      <alignment horizontal="right" vertical="center" wrapText="1"/>
    </xf>
    <xf numFmtId="181" fontId="2" fillId="0" borderId="15" xfId="0" applyNumberFormat="1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180" fontId="4" fillId="0" borderId="17" xfId="0" applyNumberFormat="1" applyFont="1" applyFill="1" applyBorder="1" applyAlignment="1">
      <alignment horizontal="center" wrapText="1"/>
    </xf>
    <xf numFmtId="181" fontId="2" fillId="0" borderId="14" xfId="102" applyNumberFormat="1" applyFont="1" applyFill="1" applyBorder="1" applyAlignment="1">
      <alignment horizontal="right" vertical="center"/>
    </xf>
    <xf numFmtId="181" fontId="2" fillId="0" borderId="17" xfId="102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right" wrapText="1"/>
    </xf>
    <xf numFmtId="181" fontId="2" fillId="0" borderId="14" xfId="0" applyNumberFormat="1" applyFont="1" applyFill="1" applyBorder="1" applyAlignment="1">
      <alignment horizontal="right" wrapText="1"/>
    </xf>
    <xf numFmtId="0" fontId="2" fillId="0" borderId="18" xfId="0" applyFont="1" applyFill="1" applyBorder="1" applyAlignment="1">
      <alignment/>
    </xf>
    <xf numFmtId="180" fontId="2" fillId="0" borderId="17" xfId="0" applyNumberFormat="1" applyFont="1" applyFill="1" applyBorder="1" applyAlignment="1">
      <alignment horizontal="center" vertical="center" wrapText="1"/>
    </xf>
    <xf numFmtId="181" fontId="2" fillId="0" borderId="17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justify" vertical="top" wrapText="1"/>
    </xf>
    <xf numFmtId="0" fontId="0" fillId="0" borderId="14" xfId="0" applyFont="1" applyFill="1" applyBorder="1" applyAlignment="1">
      <alignment vertical="top" wrapText="1"/>
    </xf>
    <xf numFmtId="0" fontId="44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27" borderId="14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textRotation="90" wrapText="1"/>
    </xf>
    <xf numFmtId="0" fontId="10" fillId="0" borderId="14" xfId="0" applyFont="1" applyFill="1" applyBorder="1" applyAlignment="1">
      <alignment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horizontal="justify" vertical="top" wrapText="1"/>
    </xf>
    <xf numFmtId="0" fontId="0" fillId="0" borderId="17" xfId="0" applyFont="1" applyFill="1" applyBorder="1" applyAlignment="1">
      <alignment horizontal="justify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44" fillId="0" borderId="14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justify" vertical="top"/>
    </xf>
    <xf numFmtId="0" fontId="0" fillId="0" borderId="19" xfId="0" applyFont="1" applyFill="1" applyBorder="1" applyAlignment="1">
      <alignment horizontal="justify" vertical="top"/>
    </xf>
    <xf numFmtId="0" fontId="0" fillId="0" borderId="17" xfId="0" applyFont="1" applyFill="1" applyBorder="1" applyAlignment="1">
      <alignment horizontal="justify" vertical="top"/>
    </xf>
    <xf numFmtId="0" fontId="2" fillId="0" borderId="17" xfId="0" applyFont="1" applyFill="1" applyBorder="1" applyAlignment="1">
      <alignment horizontal="justify"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0" fontId="2" fillId="0" borderId="22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0" fillId="0" borderId="19" xfId="0" applyFont="1" applyFill="1" applyBorder="1" applyAlignment="1">
      <alignment vertical="top" wrapText="1"/>
    </xf>
    <xf numFmtId="0" fontId="44" fillId="0" borderId="0" xfId="0" applyFont="1" applyFill="1" applyAlignment="1">
      <alignment horizontal="center" wrapText="1"/>
    </xf>
    <xf numFmtId="0" fontId="44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_МСП_Приложение 4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dministration\&#1057;&#1090;&#1088;&#1086;&#1080;&#1090;&#1077;&#1083;&#1100;&#1085;&#1099;&#1081;%20&#1086;&#1090;&#1076;&#1077;&#1083;\&#1052;&#1055;%20&#1056;&#1072;&#1079;&#1074;&#1080;&#1090;&#1080;&#1077;%20&#1078;&#1080;&#1083;&#1080;&#1097;&#1085;&#1086;&#1075;&#1086;%20&#1089;&#1090;&#1088;&#1086;&#1080;&#1090;&#1077;&#1083;&#1100;&#1089;&#1090;&#1074;&#1072;%20&#1057;&#1077;&#1074;&#1077;&#1088;&#1086;&#1076;&#1074;&#1080;&#1085;&#1089;&#1082;&#1072;\_2016-2021\&#1074;%20&#1088;&#1077;&#1076;.%20274-&#1087;&#1072;%20&#1086;&#1090;%2028.08.2017\&#1055;&#1088;&#1080;&#1083;&#1086;&#1078;&#1077;&#1085;&#1080;&#1077;%204%20&#1086;&#1090;%2028.08.2017%20274-&#1087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_4"/>
      <sheetName val="расчет_показ"/>
      <sheetName val="Лист1"/>
      <sheetName val="Лист2"/>
    </sheetNames>
    <sheetDataSet>
      <sheetData sheetId="0">
        <row r="50">
          <cell r="K50">
            <v>20593.3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R326"/>
  <sheetViews>
    <sheetView tabSelected="1" view="pageBreakPreview" zoomScale="85" zoomScaleNormal="90" zoomScaleSheetLayoutView="85" zoomScalePageLayoutView="0" workbookViewId="0" topLeftCell="A238">
      <selection activeCell="H242" sqref="H242"/>
    </sheetView>
  </sheetViews>
  <sheetFormatPr defaultColWidth="9.00390625" defaultRowHeight="12.75"/>
  <cols>
    <col min="1" max="7" width="3.125" style="2" customWidth="1"/>
    <col min="8" max="8" width="73.375" style="2" customWidth="1"/>
    <col min="9" max="9" width="10.25390625" style="2" customWidth="1"/>
    <col min="10" max="12" width="10.875" style="2" customWidth="1"/>
    <col min="13" max="13" width="9.625" style="2" customWidth="1"/>
    <col min="14" max="14" width="11.125" style="2" customWidth="1"/>
    <col min="15" max="15" width="11.00390625" style="2" customWidth="1"/>
    <col min="16" max="16" width="13.75390625" style="2" customWidth="1"/>
    <col min="17" max="17" width="6.25390625" style="2" customWidth="1"/>
    <col min="18" max="18" width="25.625" style="16" customWidth="1"/>
    <col min="19" max="16384" width="9.125" style="2" customWidth="1"/>
  </cols>
  <sheetData>
    <row r="1" ht="15.75">
      <c r="K1" s="97" t="s">
        <v>135</v>
      </c>
    </row>
    <row r="2" ht="15.75">
      <c r="K2" s="97" t="s">
        <v>136</v>
      </c>
    </row>
    <row r="3" ht="15.75">
      <c r="K3" s="98" t="s">
        <v>179</v>
      </c>
    </row>
    <row r="4" ht="15.75">
      <c r="K4" s="98" t="s">
        <v>290</v>
      </c>
    </row>
    <row r="5" ht="15.75">
      <c r="K5" s="98" t="s">
        <v>445</v>
      </c>
    </row>
    <row r="6" ht="6.75" customHeight="1">
      <c r="M6" s="114"/>
    </row>
    <row r="7" spans="1:17" ht="15.75">
      <c r="A7" s="177" t="s">
        <v>379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</row>
    <row r="8" spans="1:17" ht="15.75">
      <c r="A8" s="177" t="s">
        <v>167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</row>
    <row r="9" spans="6:17" ht="15.75">
      <c r="F9" s="175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</row>
    <row r="10" spans="1:17" ht="15.75">
      <c r="A10" s="175" t="s">
        <v>174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</row>
    <row r="11" spans="6:17" ht="8.25" customHeight="1">
      <c r="F11" s="175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</row>
    <row r="12" spans="1:17" ht="12.75" customHeight="1">
      <c r="A12" s="173" t="s">
        <v>175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</row>
    <row r="13" spans="1:17" ht="12.75" customHeight="1">
      <c r="A13" s="174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</row>
    <row r="14" spans="1:17" ht="12.75" customHeight="1">
      <c r="A14" s="174"/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</row>
    <row r="15" spans="1:17" ht="12.75">
      <c r="A15" s="174"/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</row>
    <row r="16" spans="1:17" ht="12.75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</row>
    <row r="17" ht="7.5" customHeight="1">
      <c r="M17" s="114"/>
    </row>
    <row r="18" spans="1:17" ht="30.75" customHeight="1">
      <c r="A18" s="168" t="s">
        <v>133</v>
      </c>
      <c r="B18" s="169"/>
      <c r="C18" s="169"/>
      <c r="D18" s="169"/>
      <c r="E18" s="169"/>
      <c r="F18" s="169"/>
      <c r="G18" s="170" t="s">
        <v>131</v>
      </c>
      <c r="H18" s="168" t="s">
        <v>61</v>
      </c>
      <c r="I18" s="172" t="s">
        <v>62</v>
      </c>
      <c r="J18" s="168" t="s">
        <v>356</v>
      </c>
      <c r="K18" s="168"/>
      <c r="L18" s="169"/>
      <c r="M18" s="169"/>
      <c r="N18" s="169"/>
      <c r="O18" s="169"/>
      <c r="P18" s="168" t="s">
        <v>65</v>
      </c>
      <c r="Q18" s="168"/>
    </row>
    <row r="19" spans="1:17" ht="126" customHeight="1">
      <c r="A19" s="59" t="s">
        <v>57</v>
      </c>
      <c r="B19" s="59" t="s">
        <v>59</v>
      </c>
      <c r="C19" s="59" t="s">
        <v>58</v>
      </c>
      <c r="D19" s="58" t="s">
        <v>60</v>
      </c>
      <c r="E19" s="172" t="s">
        <v>132</v>
      </c>
      <c r="F19" s="172"/>
      <c r="G19" s="171"/>
      <c r="H19" s="168"/>
      <c r="I19" s="172"/>
      <c r="J19" s="99">
        <v>2016</v>
      </c>
      <c r="K19" s="91">
        <v>2017</v>
      </c>
      <c r="L19" s="91">
        <v>2018</v>
      </c>
      <c r="M19" s="91">
        <v>2019</v>
      </c>
      <c r="N19" s="91">
        <v>2020</v>
      </c>
      <c r="O19" s="91">
        <v>2021</v>
      </c>
      <c r="P19" s="92" t="s">
        <v>63</v>
      </c>
      <c r="Q19" s="58" t="s">
        <v>64</v>
      </c>
    </row>
    <row r="20" spans="1:17" ht="15">
      <c r="A20" s="31">
        <v>1</v>
      </c>
      <c r="B20" s="31">
        <v>2</v>
      </c>
      <c r="C20" s="31">
        <v>3</v>
      </c>
      <c r="D20" s="31">
        <v>4</v>
      </c>
      <c r="E20" s="31">
        <v>5</v>
      </c>
      <c r="F20" s="31">
        <v>6</v>
      </c>
      <c r="G20" s="31">
        <v>7</v>
      </c>
      <c r="H20" s="31">
        <v>8</v>
      </c>
      <c r="I20" s="31">
        <v>9</v>
      </c>
      <c r="J20" s="31" t="s">
        <v>357</v>
      </c>
      <c r="K20" s="31">
        <v>11</v>
      </c>
      <c r="L20" s="31">
        <v>12</v>
      </c>
      <c r="M20" s="31">
        <v>13</v>
      </c>
      <c r="N20" s="31">
        <v>14</v>
      </c>
      <c r="O20" s="31">
        <v>15</v>
      </c>
      <c r="P20" s="31">
        <v>16</v>
      </c>
      <c r="Q20" s="31">
        <v>17</v>
      </c>
    </row>
    <row r="21" spans="1:17" ht="28.5">
      <c r="A21" s="78" t="s">
        <v>134</v>
      </c>
      <c r="B21" s="78">
        <v>0</v>
      </c>
      <c r="C21" s="78">
        <v>0</v>
      </c>
      <c r="D21" s="78">
        <v>0</v>
      </c>
      <c r="E21" s="78">
        <v>0</v>
      </c>
      <c r="F21" s="78">
        <v>0</v>
      </c>
      <c r="G21" s="78"/>
      <c r="H21" s="60" t="s">
        <v>168</v>
      </c>
      <c r="I21" s="61" t="s">
        <v>67</v>
      </c>
      <c r="J21" s="79">
        <f aca="true" t="shared" si="0" ref="J21:O21">SUM(J22:J25)</f>
        <v>1756606.6</v>
      </c>
      <c r="K21" s="79">
        <f t="shared" si="0"/>
        <v>1181144</v>
      </c>
      <c r="L21" s="79">
        <f t="shared" si="0"/>
        <v>497920.3</v>
      </c>
      <c r="M21" s="79">
        <f t="shared" si="0"/>
        <v>548367.9</v>
      </c>
      <c r="N21" s="79">
        <f t="shared" si="0"/>
        <v>514578</v>
      </c>
      <c r="O21" s="79">
        <f t="shared" si="0"/>
        <v>913889.6</v>
      </c>
      <c r="P21" s="79">
        <f>SUM(J21:O21)</f>
        <v>5412506.399999999</v>
      </c>
      <c r="Q21" s="62">
        <v>2021</v>
      </c>
    </row>
    <row r="22" spans="1:17" ht="15">
      <c r="A22" s="4" t="s">
        <v>134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1</v>
      </c>
      <c r="H22" s="5" t="s">
        <v>31</v>
      </c>
      <c r="I22" s="3" t="s">
        <v>67</v>
      </c>
      <c r="J22" s="7">
        <f aca="true" t="shared" si="1" ref="J22:O22">J235+J259</f>
        <v>82875.59999999999</v>
      </c>
      <c r="K22" s="7">
        <f t="shared" si="1"/>
        <v>43369.6</v>
      </c>
      <c r="L22" s="7">
        <f t="shared" si="1"/>
        <v>31295.899999999998</v>
      </c>
      <c r="M22" s="7">
        <f t="shared" si="1"/>
        <v>33006.5</v>
      </c>
      <c r="N22" s="7">
        <f t="shared" si="1"/>
        <v>33794.1</v>
      </c>
      <c r="O22" s="7">
        <f t="shared" si="1"/>
        <v>34943.1</v>
      </c>
      <c r="P22" s="7">
        <f>SUM(J22:O22)</f>
        <v>259284.8</v>
      </c>
      <c r="Q22" s="9">
        <v>2021</v>
      </c>
    </row>
    <row r="23" spans="1:17" ht="15">
      <c r="A23" s="4" t="s">
        <v>134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2</v>
      </c>
      <c r="H23" s="5" t="s">
        <v>32</v>
      </c>
      <c r="I23" s="3" t="s">
        <v>67</v>
      </c>
      <c r="J23" s="7">
        <f aca="true" t="shared" si="2" ref="J23:O23">J36+J74+J236+J260</f>
        <v>420043.20000000007</v>
      </c>
      <c r="K23" s="7">
        <f t="shared" si="2"/>
        <v>90944.5</v>
      </c>
      <c r="L23" s="7">
        <f t="shared" si="2"/>
        <v>88390.7</v>
      </c>
      <c r="M23" s="7">
        <f t="shared" si="2"/>
        <v>91588.8</v>
      </c>
      <c r="N23" s="7">
        <f t="shared" si="2"/>
        <v>40065.600000000006</v>
      </c>
      <c r="O23" s="7">
        <f t="shared" si="2"/>
        <v>81427.9</v>
      </c>
      <c r="P23" s="7">
        <f>SUM(J23:O23)</f>
        <v>812460.7000000001</v>
      </c>
      <c r="Q23" s="9">
        <v>2021</v>
      </c>
    </row>
    <row r="24" spans="1:17" ht="15">
      <c r="A24" s="4" t="s">
        <v>134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3</v>
      </c>
      <c r="H24" s="5" t="s">
        <v>33</v>
      </c>
      <c r="I24" s="3" t="s">
        <v>67</v>
      </c>
      <c r="J24" s="7">
        <f aca="true" t="shared" si="3" ref="J24:O24">J37+J75+J196+J237+J261</f>
        <v>442269.6</v>
      </c>
      <c r="K24" s="7">
        <f t="shared" si="3"/>
        <v>439748.8</v>
      </c>
      <c r="L24" s="7">
        <f t="shared" si="3"/>
        <v>378233.7</v>
      </c>
      <c r="M24" s="7">
        <f t="shared" si="3"/>
        <v>423772.6</v>
      </c>
      <c r="N24" s="7">
        <f t="shared" si="3"/>
        <v>440718.3</v>
      </c>
      <c r="O24" s="7">
        <f t="shared" si="3"/>
        <v>797518.6</v>
      </c>
      <c r="P24" s="7">
        <f>SUM(J24:O24)</f>
        <v>2922261.5999999996</v>
      </c>
      <c r="Q24" s="9">
        <v>2021</v>
      </c>
    </row>
    <row r="25" spans="1:17" ht="15">
      <c r="A25" s="4" t="s">
        <v>134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5</v>
      </c>
      <c r="H25" s="5" t="s">
        <v>137</v>
      </c>
      <c r="I25" s="3" t="s">
        <v>67</v>
      </c>
      <c r="J25" s="7">
        <f>J38+J292</f>
        <v>811418.2</v>
      </c>
      <c r="K25" s="7">
        <f>K38</f>
        <v>607081.1</v>
      </c>
      <c r="L25" s="7">
        <f>L38</f>
        <v>0</v>
      </c>
      <c r="M25" s="7">
        <f>M38</f>
        <v>0</v>
      </c>
      <c r="N25" s="7">
        <f>N38</f>
        <v>0</v>
      </c>
      <c r="O25" s="7">
        <f>O38</f>
        <v>0</v>
      </c>
      <c r="P25" s="7">
        <f>SUM(J25:O25)</f>
        <v>1418499.2999999998</v>
      </c>
      <c r="Q25" s="9">
        <v>2017</v>
      </c>
    </row>
    <row r="26" spans="1:17" ht="30">
      <c r="A26" s="4" t="s">
        <v>134</v>
      </c>
      <c r="B26" s="4">
        <v>1</v>
      </c>
      <c r="C26" s="4">
        <v>0</v>
      </c>
      <c r="D26" s="4">
        <v>0</v>
      </c>
      <c r="E26" s="4">
        <v>0</v>
      </c>
      <c r="F26" s="4">
        <v>0</v>
      </c>
      <c r="G26" s="4"/>
      <c r="H26" s="5" t="s">
        <v>380</v>
      </c>
      <c r="I26" s="3" t="s">
        <v>67</v>
      </c>
      <c r="J26" s="7">
        <f aca="true" t="shared" si="4" ref="J26:P26">J35+J72+J195+J234+J258+J291</f>
        <v>1756606.6</v>
      </c>
      <c r="K26" s="7">
        <f t="shared" si="4"/>
        <v>1181144</v>
      </c>
      <c r="L26" s="7">
        <f t="shared" si="4"/>
        <v>497920.29999999993</v>
      </c>
      <c r="M26" s="7">
        <f t="shared" si="4"/>
        <v>548367.9</v>
      </c>
      <c r="N26" s="7">
        <f t="shared" si="4"/>
        <v>514578</v>
      </c>
      <c r="O26" s="7">
        <f t="shared" si="4"/>
        <v>913889.6</v>
      </c>
      <c r="P26" s="7">
        <f t="shared" si="4"/>
        <v>5412506.4</v>
      </c>
      <c r="Q26" s="9">
        <v>2021</v>
      </c>
    </row>
    <row r="27" spans="1:18" ht="33.75">
      <c r="A27" s="4" t="s">
        <v>134</v>
      </c>
      <c r="B27" s="4">
        <v>1</v>
      </c>
      <c r="C27" s="4">
        <v>0</v>
      </c>
      <c r="D27" s="4">
        <v>0</v>
      </c>
      <c r="E27" s="4">
        <v>0</v>
      </c>
      <c r="F27" s="4">
        <v>0</v>
      </c>
      <c r="G27" s="4"/>
      <c r="H27" s="5" t="s">
        <v>75</v>
      </c>
      <c r="I27" s="3" t="s">
        <v>66</v>
      </c>
      <c r="J27" s="6">
        <f>расчет_показ!E15</f>
        <v>37033</v>
      </c>
      <c r="K27" s="6">
        <f>расчет_показ!F15</f>
        <v>44827.9</v>
      </c>
      <c r="L27" s="6">
        <f>расчет_показ!G15</f>
        <v>57305</v>
      </c>
      <c r="M27" s="6">
        <f>расчет_показ!H15</f>
        <v>61153</v>
      </c>
      <c r="N27" s="6">
        <f>расчет_показ!I15</f>
        <v>68096</v>
      </c>
      <c r="O27" s="6">
        <f>расчет_показ!J15</f>
        <v>89954</v>
      </c>
      <c r="P27" s="7">
        <f aca="true" t="shared" si="5" ref="P27:P34">O27</f>
        <v>89954</v>
      </c>
      <c r="Q27" s="9">
        <v>2021</v>
      </c>
      <c r="R27" s="16" t="s">
        <v>293</v>
      </c>
    </row>
    <row r="28" spans="1:17" ht="30">
      <c r="A28" s="4" t="s">
        <v>134</v>
      </c>
      <c r="B28" s="4">
        <v>1</v>
      </c>
      <c r="C28" s="4">
        <v>0</v>
      </c>
      <c r="D28" s="4">
        <v>0</v>
      </c>
      <c r="E28" s="4">
        <v>0</v>
      </c>
      <c r="F28" s="4">
        <v>0</v>
      </c>
      <c r="G28" s="4"/>
      <c r="H28" s="5" t="s">
        <v>398</v>
      </c>
      <c r="I28" s="3" t="s">
        <v>72</v>
      </c>
      <c r="J28" s="23">
        <f>расчет_показ!E16</f>
        <v>26.494136505935156</v>
      </c>
      <c r="K28" s="23">
        <f>расчет_показ!F16</f>
        <v>22.866442120095385</v>
      </c>
      <c r="L28" s="8">
        <f>расчет_показ!G16</f>
        <v>23.422876403272717</v>
      </c>
      <c r="M28" s="23">
        <f>расчет_показ!H16</f>
        <v>23.786343299869053</v>
      </c>
      <c r="N28" s="23">
        <f>расчет_показ!I16</f>
        <v>24.19246440306681</v>
      </c>
      <c r="O28" s="23">
        <f>расчет_показ!J16</f>
        <v>24.70338080052782</v>
      </c>
      <c r="P28" s="23">
        <f t="shared" si="5"/>
        <v>24.70338080052782</v>
      </c>
      <c r="Q28" s="9">
        <v>2021</v>
      </c>
    </row>
    <row r="29" spans="1:17" ht="30">
      <c r="A29" s="4" t="s">
        <v>134</v>
      </c>
      <c r="B29" s="4">
        <v>1</v>
      </c>
      <c r="C29" s="4">
        <v>0</v>
      </c>
      <c r="D29" s="4">
        <v>0</v>
      </c>
      <c r="E29" s="4">
        <v>0</v>
      </c>
      <c r="F29" s="4">
        <v>0</v>
      </c>
      <c r="G29" s="4"/>
      <c r="H29" s="5" t="s">
        <v>81</v>
      </c>
      <c r="I29" s="3" t="s">
        <v>73</v>
      </c>
      <c r="J29" s="23">
        <f>расчет_показ!E19</f>
        <v>1.2334360303535863</v>
      </c>
      <c r="K29" s="23">
        <f>расчет_показ!F19</f>
        <v>2.44260449898999</v>
      </c>
      <c r="L29" s="8">
        <f>расчет_показ!G19</f>
        <v>2.431799682536072</v>
      </c>
      <c r="M29" s="23">
        <f>расчет_показ!H19</f>
        <v>2.3787945621130198</v>
      </c>
      <c r="N29" s="23">
        <f>расчет_показ!I19</f>
        <v>2.3233588618472156</v>
      </c>
      <c r="O29" s="23">
        <f>расчет_показ!J19</f>
        <v>2.164046260860298</v>
      </c>
      <c r="P29" s="23">
        <f t="shared" si="5"/>
        <v>2.164046260860298</v>
      </c>
      <c r="Q29" s="9">
        <v>2021</v>
      </c>
    </row>
    <row r="30" spans="1:17" ht="45">
      <c r="A30" s="4" t="s">
        <v>134</v>
      </c>
      <c r="B30" s="4">
        <v>1</v>
      </c>
      <c r="C30" s="4">
        <v>0</v>
      </c>
      <c r="D30" s="4">
        <v>0</v>
      </c>
      <c r="E30" s="4">
        <v>0</v>
      </c>
      <c r="F30" s="4">
        <v>0</v>
      </c>
      <c r="G30" s="4"/>
      <c r="H30" s="5" t="s">
        <v>141</v>
      </c>
      <c r="I30" s="3" t="s">
        <v>73</v>
      </c>
      <c r="J30" s="48">
        <f>расчет_показ!E22</f>
        <v>5.074821080026025</v>
      </c>
      <c r="K30" s="48">
        <f>расчет_показ!F22</f>
        <v>20.33898305084746</v>
      </c>
      <c r="L30" s="6">
        <f>расчет_показ!G22</f>
        <v>2.7057027889551826</v>
      </c>
      <c r="M30" s="48">
        <f>расчет_показ!H22</f>
        <v>2.7376105573494316</v>
      </c>
      <c r="N30" s="48">
        <f>расчет_показ!I22</f>
        <v>2.776591200341734</v>
      </c>
      <c r="O30" s="48">
        <f>расчет_показ!J22</f>
        <v>2.816697963310703</v>
      </c>
      <c r="P30" s="48">
        <f t="shared" si="5"/>
        <v>2.816697963310703</v>
      </c>
      <c r="Q30" s="9">
        <v>2021</v>
      </c>
    </row>
    <row r="31" spans="1:17" ht="45">
      <c r="A31" s="4" t="s">
        <v>134</v>
      </c>
      <c r="B31" s="4">
        <v>1</v>
      </c>
      <c r="C31" s="4">
        <v>0</v>
      </c>
      <c r="D31" s="4">
        <v>0</v>
      </c>
      <c r="E31" s="4">
        <v>0</v>
      </c>
      <c r="F31" s="4">
        <v>0</v>
      </c>
      <c r="G31" s="4"/>
      <c r="H31" s="5" t="s">
        <v>169</v>
      </c>
      <c r="I31" s="3" t="s">
        <v>69</v>
      </c>
      <c r="J31" s="23">
        <f>расчет_показ!E35</f>
        <v>16.30170316301703</v>
      </c>
      <c r="K31" s="23">
        <f>расчет_показ!F35</f>
        <v>20.82018927444795</v>
      </c>
      <c r="L31" s="8">
        <f>расчет_показ!G35</f>
        <v>13.964686998394862</v>
      </c>
      <c r="M31" s="23">
        <f>расчет_показ!H35</f>
        <v>13.964686998394862</v>
      </c>
      <c r="N31" s="23">
        <f>расчет_показ!I35</f>
        <v>13.964686998394862</v>
      </c>
      <c r="O31" s="23">
        <f>расчет_показ!J35</f>
        <v>13.964686998394862</v>
      </c>
      <c r="P31" s="23">
        <f t="shared" si="5"/>
        <v>13.964686998394862</v>
      </c>
      <c r="Q31" s="9">
        <v>2021</v>
      </c>
    </row>
    <row r="32" spans="1:17" ht="15">
      <c r="A32" s="4" t="s">
        <v>134</v>
      </c>
      <c r="B32" s="4">
        <v>1</v>
      </c>
      <c r="C32" s="4">
        <v>0</v>
      </c>
      <c r="D32" s="4">
        <v>0</v>
      </c>
      <c r="E32" s="4">
        <v>0</v>
      </c>
      <c r="F32" s="4">
        <v>0</v>
      </c>
      <c r="G32" s="4"/>
      <c r="H32" s="5" t="s">
        <v>142</v>
      </c>
      <c r="I32" s="3" t="s">
        <v>347</v>
      </c>
      <c r="J32" s="15">
        <f>расчет_показ!E38</f>
        <v>41.19867196206084</v>
      </c>
      <c r="K32" s="15">
        <f>расчет_показ!F38</f>
        <v>35.35275452664036</v>
      </c>
      <c r="L32" s="7">
        <f>расчет_показ!G38</f>
        <v>36.10018517122054</v>
      </c>
      <c r="M32" s="15">
        <f>расчет_показ!H38</f>
        <v>36.52783852399266</v>
      </c>
      <c r="N32" s="15">
        <f>расчет_показ!I38</f>
        <v>37.01366580365148</v>
      </c>
      <c r="O32" s="15">
        <f>расчет_показ!J38</f>
        <v>37.64632213089343</v>
      </c>
      <c r="P32" s="93">
        <f t="shared" si="5"/>
        <v>37.64632213089343</v>
      </c>
      <c r="Q32" s="9">
        <v>2021</v>
      </c>
    </row>
    <row r="33" spans="1:17" ht="30">
      <c r="A33" s="4" t="s">
        <v>134</v>
      </c>
      <c r="B33" s="4">
        <v>1</v>
      </c>
      <c r="C33" s="4">
        <v>0</v>
      </c>
      <c r="D33" s="4">
        <v>0</v>
      </c>
      <c r="E33" s="4">
        <v>0</v>
      </c>
      <c r="F33" s="4">
        <v>0</v>
      </c>
      <c r="G33" s="4"/>
      <c r="H33" s="5" t="s">
        <v>145</v>
      </c>
      <c r="I33" s="3" t="s">
        <v>68</v>
      </c>
      <c r="J33" s="8">
        <f>расчет_показ!E41</f>
        <v>4.364482808787159</v>
      </c>
      <c r="K33" s="8">
        <f>расчет_показ!F41</f>
        <v>4.389768046824193</v>
      </c>
      <c r="L33" s="8">
        <f>расчет_показ!G41</f>
        <v>4.403490173693224</v>
      </c>
      <c r="M33" s="8">
        <f>расчет_показ!H41</f>
        <v>4.419467481449149</v>
      </c>
      <c r="N33" s="8">
        <f>расчет_показ!I41</f>
        <v>4.435925520262869</v>
      </c>
      <c r="O33" s="8">
        <f>расчет_показ!J41</f>
        <v>4.563448427534638</v>
      </c>
      <c r="P33" s="8">
        <f t="shared" si="5"/>
        <v>4.563448427534638</v>
      </c>
      <c r="Q33" s="9">
        <v>2021</v>
      </c>
    </row>
    <row r="34" spans="1:17" ht="30">
      <c r="A34" s="4" t="s">
        <v>134</v>
      </c>
      <c r="B34" s="4">
        <v>1</v>
      </c>
      <c r="C34" s="4">
        <v>0</v>
      </c>
      <c r="D34" s="4">
        <v>0</v>
      </c>
      <c r="E34" s="4">
        <v>0</v>
      </c>
      <c r="F34" s="4">
        <v>0</v>
      </c>
      <c r="G34" s="4"/>
      <c r="H34" s="5" t="s">
        <v>118</v>
      </c>
      <c r="I34" s="3" t="s">
        <v>68</v>
      </c>
      <c r="J34" s="120">
        <f>расчет_показ!E47</f>
        <v>2</v>
      </c>
      <c r="K34" s="120">
        <f>расчет_показ!F47</f>
        <v>5</v>
      </c>
      <c r="L34" s="53">
        <f>расчет_показ!G47</f>
        <v>6</v>
      </c>
      <c r="M34" s="120">
        <f>расчет_показ!H47</f>
        <v>8</v>
      </c>
      <c r="N34" s="120">
        <f>расчет_показ!I47</f>
        <v>9</v>
      </c>
      <c r="O34" s="120">
        <f>расчет_показ!J47</f>
        <v>13</v>
      </c>
      <c r="P34" s="53">
        <f t="shared" si="5"/>
        <v>13</v>
      </c>
      <c r="Q34" s="9">
        <v>2021</v>
      </c>
    </row>
    <row r="35" spans="1:17" ht="28.5">
      <c r="A35" s="78" t="s">
        <v>134</v>
      </c>
      <c r="B35" s="78">
        <v>1</v>
      </c>
      <c r="C35" s="78">
        <v>1</v>
      </c>
      <c r="D35" s="78">
        <v>0</v>
      </c>
      <c r="E35" s="78">
        <v>0</v>
      </c>
      <c r="F35" s="78">
        <v>0</v>
      </c>
      <c r="G35" s="4"/>
      <c r="H35" s="60" t="s">
        <v>313</v>
      </c>
      <c r="I35" s="61" t="s">
        <v>67</v>
      </c>
      <c r="J35" s="80">
        <f>J36+J37+J38</f>
        <v>953836.8</v>
      </c>
      <c r="K35" s="80">
        <f aca="true" t="shared" si="6" ref="K35:P35">K36+K37+K38</f>
        <v>916212</v>
      </c>
      <c r="L35" s="80">
        <f t="shared" si="6"/>
        <v>188941.6</v>
      </c>
      <c r="M35" s="80">
        <f t="shared" si="6"/>
        <v>190111.4</v>
      </c>
      <c r="N35" s="80">
        <f t="shared" si="6"/>
        <v>192258.3</v>
      </c>
      <c r="O35" s="80">
        <f t="shared" si="6"/>
        <v>205224.3</v>
      </c>
      <c r="P35" s="80">
        <f t="shared" si="6"/>
        <v>2646584.4000000004</v>
      </c>
      <c r="Q35" s="62">
        <v>2021</v>
      </c>
    </row>
    <row r="36" spans="1:17" ht="15">
      <c r="A36" s="4" t="s">
        <v>134</v>
      </c>
      <c r="B36" s="4">
        <v>1</v>
      </c>
      <c r="C36" s="4">
        <v>1</v>
      </c>
      <c r="D36" s="4">
        <v>0</v>
      </c>
      <c r="E36" s="4">
        <v>0</v>
      </c>
      <c r="F36" s="4">
        <v>0</v>
      </c>
      <c r="G36" s="4">
        <v>2</v>
      </c>
      <c r="H36" s="5" t="s">
        <v>32</v>
      </c>
      <c r="I36" s="3" t="s">
        <v>67</v>
      </c>
      <c r="J36" s="6">
        <f aca="true" t="shared" si="7" ref="J36:P36">J40+J56</f>
        <v>293835.7</v>
      </c>
      <c r="K36" s="6">
        <f t="shared" si="7"/>
        <v>11734</v>
      </c>
      <c r="L36" s="6">
        <f t="shared" si="7"/>
        <v>0</v>
      </c>
      <c r="M36" s="6">
        <f t="shared" si="7"/>
        <v>0</v>
      </c>
      <c r="N36" s="6">
        <f t="shared" si="7"/>
        <v>0</v>
      </c>
      <c r="O36" s="6">
        <f t="shared" si="7"/>
        <v>0</v>
      </c>
      <c r="P36" s="6">
        <f t="shared" si="7"/>
        <v>305569.7</v>
      </c>
      <c r="Q36" s="9">
        <v>2017</v>
      </c>
    </row>
    <row r="37" spans="1:17" ht="15">
      <c r="A37" s="4" t="s">
        <v>134</v>
      </c>
      <c r="B37" s="4">
        <v>1</v>
      </c>
      <c r="C37" s="4">
        <v>1</v>
      </c>
      <c r="D37" s="4">
        <v>0</v>
      </c>
      <c r="E37" s="4">
        <v>0</v>
      </c>
      <c r="F37" s="4">
        <v>0</v>
      </c>
      <c r="G37" s="4">
        <v>3</v>
      </c>
      <c r="H37" s="5" t="s">
        <v>33</v>
      </c>
      <c r="I37" s="3" t="s">
        <v>67</v>
      </c>
      <c r="J37" s="6">
        <f>J41+J57</f>
        <v>213125.4</v>
      </c>
      <c r="K37" s="6">
        <f aca="true" t="shared" si="8" ref="K37:P37">K41+K57</f>
        <v>297396.9</v>
      </c>
      <c r="L37" s="6">
        <f t="shared" si="8"/>
        <v>188941.6</v>
      </c>
      <c r="M37" s="6">
        <f t="shared" si="8"/>
        <v>190111.4</v>
      </c>
      <c r="N37" s="6">
        <f t="shared" si="8"/>
        <v>192258.3</v>
      </c>
      <c r="O37" s="6">
        <f t="shared" si="8"/>
        <v>205224.3</v>
      </c>
      <c r="P37" s="6">
        <f t="shared" si="8"/>
        <v>1287057.9000000001</v>
      </c>
      <c r="Q37" s="9">
        <v>2021</v>
      </c>
    </row>
    <row r="38" spans="1:17" ht="15">
      <c r="A38" s="4" t="s">
        <v>134</v>
      </c>
      <c r="B38" s="4">
        <v>1</v>
      </c>
      <c r="C38" s="4">
        <v>1</v>
      </c>
      <c r="D38" s="4">
        <v>0</v>
      </c>
      <c r="E38" s="4">
        <v>0</v>
      </c>
      <c r="F38" s="4">
        <v>0</v>
      </c>
      <c r="G38" s="4">
        <v>5</v>
      </c>
      <c r="H38" s="5" t="s">
        <v>137</v>
      </c>
      <c r="I38" s="3" t="s">
        <v>67</v>
      </c>
      <c r="J38" s="6">
        <f aca="true" t="shared" si="9" ref="J38:P38">J42+J58</f>
        <v>446875.7</v>
      </c>
      <c r="K38" s="6">
        <f t="shared" si="9"/>
        <v>607081.1</v>
      </c>
      <c r="L38" s="6">
        <f t="shared" si="9"/>
        <v>0</v>
      </c>
      <c r="M38" s="6">
        <f t="shared" si="9"/>
        <v>0</v>
      </c>
      <c r="N38" s="6">
        <f t="shared" si="9"/>
        <v>0</v>
      </c>
      <c r="O38" s="6">
        <f t="shared" si="9"/>
        <v>0</v>
      </c>
      <c r="P38" s="6">
        <f t="shared" si="9"/>
        <v>1053956.8</v>
      </c>
      <c r="Q38" s="9">
        <v>2017</v>
      </c>
    </row>
    <row r="39" spans="1:17" ht="15">
      <c r="A39" s="4" t="s">
        <v>134</v>
      </c>
      <c r="B39" s="4">
        <v>1</v>
      </c>
      <c r="C39" s="4">
        <v>1</v>
      </c>
      <c r="D39" s="4">
        <v>1</v>
      </c>
      <c r="E39" s="4">
        <v>0</v>
      </c>
      <c r="F39" s="4">
        <v>0</v>
      </c>
      <c r="G39" s="4"/>
      <c r="H39" s="5" t="s">
        <v>314</v>
      </c>
      <c r="I39" s="3" t="s">
        <v>67</v>
      </c>
      <c r="J39" s="6">
        <f aca="true" t="shared" si="10" ref="J39:O39">SUM(J40:J42)</f>
        <v>770170.7</v>
      </c>
      <c r="K39" s="6">
        <f t="shared" si="10"/>
        <v>799869.8</v>
      </c>
      <c r="L39" s="6">
        <f t="shared" si="10"/>
        <v>188941.6</v>
      </c>
      <c r="M39" s="6">
        <f t="shared" si="10"/>
        <v>190111.4</v>
      </c>
      <c r="N39" s="6">
        <f t="shared" si="10"/>
        <v>192258.3</v>
      </c>
      <c r="O39" s="6">
        <f t="shared" si="10"/>
        <v>205224.3</v>
      </c>
      <c r="P39" s="7">
        <f>SUM(P40:P42)</f>
        <v>2346576.1</v>
      </c>
      <c r="Q39" s="4">
        <v>2021</v>
      </c>
    </row>
    <row r="40" spans="1:17" ht="15">
      <c r="A40" s="4" t="s">
        <v>134</v>
      </c>
      <c r="B40" s="4">
        <v>1</v>
      </c>
      <c r="C40" s="4">
        <v>1</v>
      </c>
      <c r="D40" s="4">
        <v>1</v>
      </c>
      <c r="E40" s="4">
        <v>0</v>
      </c>
      <c r="F40" s="4">
        <v>0</v>
      </c>
      <c r="G40" s="4">
        <v>2</v>
      </c>
      <c r="H40" s="5" t="s">
        <v>32</v>
      </c>
      <c r="I40" s="3" t="s">
        <v>67</v>
      </c>
      <c r="J40" s="6">
        <f>J46</f>
        <v>223933.5</v>
      </c>
      <c r="K40" s="6">
        <f aca="true" t="shared" si="11" ref="K40:P40">K46</f>
        <v>7333.7</v>
      </c>
      <c r="L40" s="6">
        <f t="shared" si="11"/>
        <v>0</v>
      </c>
      <c r="M40" s="6">
        <f t="shared" si="11"/>
        <v>0</v>
      </c>
      <c r="N40" s="6">
        <f t="shared" si="11"/>
        <v>0</v>
      </c>
      <c r="O40" s="6">
        <f t="shared" si="11"/>
        <v>0</v>
      </c>
      <c r="P40" s="6">
        <f t="shared" si="11"/>
        <v>231267.2</v>
      </c>
      <c r="Q40" s="9">
        <v>2017</v>
      </c>
    </row>
    <row r="41" spans="1:17" ht="15">
      <c r="A41" s="4" t="s">
        <v>134</v>
      </c>
      <c r="B41" s="4">
        <v>1</v>
      </c>
      <c r="C41" s="4">
        <v>1</v>
      </c>
      <c r="D41" s="4">
        <v>1</v>
      </c>
      <c r="E41" s="4">
        <v>0</v>
      </c>
      <c r="F41" s="4">
        <v>0</v>
      </c>
      <c r="G41" s="4">
        <v>3</v>
      </c>
      <c r="H41" s="5" t="s">
        <v>33</v>
      </c>
      <c r="I41" s="3" t="s">
        <v>67</v>
      </c>
      <c r="J41" s="6">
        <f aca="true" t="shared" si="12" ref="J41:P41">J47+J52</f>
        <v>212168.1</v>
      </c>
      <c r="K41" s="6">
        <f t="shared" si="12"/>
        <v>295302.4</v>
      </c>
      <c r="L41" s="6">
        <f t="shared" si="12"/>
        <v>188941.6</v>
      </c>
      <c r="M41" s="6">
        <f t="shared" si="12"/>
        <v>190111.4</v>
      </c>
      <c r="N41" s="6">
        <f t="shared" si="12"/>
        <v>192258.3</v>
      </c>
      <c r="O41" s="6">
        <f t="shared" si="12"/>
        <v>205224.3</v>
      </c>
      <c r="P41" s="6">
        <f t="shared" si="12"/>
        <v>1284006.1</v>
      </c>
      <c r="Q41" s="9">
        <v>2021</v>
      </c>
    </row>
    <row r="42" spans="1:17" ht="15">
      <c r="A42" s="4" t="s">
        <v>134</v>
      </c>
      <c r="B42" s="4">
        <v>1</v>
      </c>
      <c r="C42" s="4">
        <v>1</v>
      </c>
      <c r="D42" s="4">
        <v>1</v>
      </c>
      <c r="E42" s="4">
        <v>0</v>
      </c>
      <c r="F42" s="4">
        <v>0</v>
      </c>
      <c r="G42" s="4">
        <v>5</v>
      </c>
      <c r="H42" s="5" t="s">
        <v>137</v>
      </c>
      <c r="I42" s="3" t="s">
        <v>67</v>
      </c>
      <c r="J42" s="6">
        <f>J48</f>
        <v>334069.10000000003</v>
      </c>
      <c r="K42" s="6">
        <f aca="true" t="shared" si="13" ref="K42:P42">K48</f>
        <v>497233.7</v>
      </c>
      <c r="L42" s="6">
        <f t="shared" si="13"/>
        <v>0</v>
      </c>
      <c r="M42" s="6">
        <f t="shared" si="13"/>
        <v>0</v>
      </c>
      <c r="N42" s="6">
        <f t="shared" si="13"/>
        <v>0</v>
      </c>
      <c r="O42" s="6">
        <f t="shared" si="13"/>
        <v>0</v>
      </c>
      <c r="P42" s="6">
        <f t="shared" si="13"/>
        <v>831302.8</v>
      </c>
      <c r="Q42" s="9">
        <v>2017</v>
      </c>
    </row>
    <row r="43" spans="1:17" ht="45">
      <c r="A43" s="4" t="s">
        <v>134</v>
      </c>
      <c r="B43" s="4">
        <v>1</v>
      </c>
      <c r="C43" s="4">
        <v>1</v>
      </c>
      <c r="D43" s="4">
        <v>1</v>
      </c>
      <c r="E43" s="4">
        <v>0</v>
      </c>
      <c r="F43" s="4">
        <v>0</v>
      </c>
      <c r="G43" s="4"/>
      <c r="H43" s="5" t="s">
        <v>109</v>
      </c>
      <c r="I43" s="3" t="s">
        <v>30</v>
      </c>
      <c r="J43" s="8">
        <f>расчет_показ!E67</f>
        <v>0.07269288589302168</v>
      </c>
      <c r="K43" s="8">
        <f>расчет_показ!F67</f>
        <v>0.11160470409711684</v>
      </c>
      <c r="L43" s="8">
        <f>расчет_показ!G67</f>
        <v>0.02174563048737394</v>
      </c>
      <c r="M43" s="8">
        <f>расчет_показ!H67</f>
        <v>0.02182453077258839</v>
      </c>
      <c r="N43" s="8">
        <f>расчет_показ!I67</f>
        <v>0.02190580503833516</v>
      </c>
      <c r="O43" s="8">
        <f>расчет_показ!J67</f>
        <v>0.021992522542335607</v>
      </c>
      <c r="P43" s="8">
        <f>O43</f>
        <v>0.021992522542335607</v>
      </c>
      <c r="Q43" s="9">
        <v>2021</v>
      </c>
    </row>
    <row r="44" spans="1:17" ht="45">
      <c r="A44" s="4" t="s">
        <v>134</v>
      </c>
      <c r="B44" s="4">
        <v>1</v>
      </c>
      <c r="C44" s="4">
        <v>1</v>
      </c>
      <c r="D44" s="4">
        <v>1</v>
      </c>
      <c r="E44" s="4">
        <v>0</v>
      </c>
      <c r="F44" s="4">
        <v>0</v>
      </c>
      <c r="G44" s="4"/>
      <c r="H44" s="5" t="s">
        <v>195</v>
      </c>
      <c r="I44" s="3" t="s">
        <v>69</v>
      </c>
      <c r="J44" s="53">
        <f>расчет_показ!E70</f>
        <v>36.42967083412092</v>
      </c>
      <c r="K44" s="53">
        <f>расчет_показ!F70</f>
        <v>45.93857842995099</v>
      </c>
      <c r="L44" s="53">
        <f>расчет_показ!G70</f>
        <v>6.980193700375185</v>
      </c>
      <c r="M44" s="53">
        <f>расчет_показ!H70</f>
        <v>6.540971007146011</v>
      </c>
      <c r="N44" s="53">
        <f>расчет_показ!I70</f>
        <v>5.87406015037594</v>
      </c>
      <c r="O44" s="53">
        <f>расчет_показ!J70</f>
        <v>4.446717211018965</v>
      </c>
      <c r="P44" s="53">
        <f>O44</f>
        <v>4.446717211018965</v>
      </c>
      <c r="Q44" s="9">
        <v>2021</v>
      </c>
    </row>
    <row r="45" spans="1:18" ht="30">
      <c r="A45" s="4" t="s">
        <v>134</v>
      </c>
      <c r="B45" s="4">
        <v>1</v>
      </c>
      <c r="C45" s="4">
        <v>1</v>
      </c>
      <c r="D45" s="4">
        <v>1</v>
      </c>
      <c r="E45" s="4">
        <v>0</v>
      </c>
      <c r="F45" s="4">
        <v>1</v>
      </c>
      <c r="G45" s="4"/>
      <c r="H45" s="5" t="s">
        <v>326</v>
      </c>
      <c r="I45" s="3" t="s">
        <v>67</v>
      </c>
      <c r="J45" s="7">
        <f aca="true" t="shared" si="14" ref="J45:O45">J46+J47+J48</f>
        <v>706640.8</v>
      </c>
      <c r="K45" s="7">
        <f t="shared" si="14"/>
        <v>758303.6000000001</v>
      </c>
      <c r="L45" s="7">
        <f t="shared" si="14"/>
        <v>178069.2</v>
      </c>
      <c r="M45" s="7">
        <f t="shared" si="14"/>
        <v>180111.4</v>
      </c>
      <c r="N45" s="7">
        <f t="shared" si="14"/>
        <v>182258.3</v>
      </c>
      <c r="O45" s="7">
        <f t="shared" si="14"/>
        <v>194884.3</v>
      </c>
      <c r="P45" s="7">
        <f>SUM(J45:O45)</f>
        <v>2200267.6</v>
      </c>
      <c r="Q45" s="9">
        <v>2021</v>
      </c>
      <c r="R45" s="16" t="s">
        <v>381</v>
      </c>
    </row>
    <row r="46" spans="1:17" ht="15">
      <c r="A46" s="4" t="s">
        <v>134</v>
      </c>
      <c r="B46" s="4">
        <v>1</v>
      </c>
      <c r="C46" s="4">
        <v>1</v>
      </c>
      <c r="D46" s="4">
        <v>1</v>
      </c>
      <c r="E46" s="4">
        <v>0</v>
      </c>
      <c r="F46" s="4">
        <v>1</v>
      </c>
      <c r="G46" s="4">
        <v>2</v>
      </c>
      <c r="H46" s="5" t="s">
        <v>32</v>
      </c>
      <c r="I46" s="3" t="s">
        <v>67</v>
      </c>
      <c r="J46" s="6">
        <f>64684.1-44684.1+131472.9+44684.1+0.1+3000-3000+2124.8+9182.9+16468.7</f>
        <v>223933.5</v>
      </c>
      <c r="K46" s="6">
        <v>7333.7</v>
      </c>
      <c r="L46" s="6">
        <v>0</v>
      </c>
      <c r="M46" s="6">
        <v>0</v>
      </c>
      <c r="N46" s="6">
        <v>0</v>
      </c>
      <c r="O46" s="6">
        <v>0</v>
      </c>
      <c r="P46" s="7">
        <f aca="true" t="shared" si="15" ref="P46:P53">SUM(J46:O46)</f>
        <v>231267.2</v>
      </c>
      <c r="Q46" s="9">
        <v>2017</v>
      </c>
    </row>
    <row r="47" spans="1:17" ht="15">
      <c r="A47" s="4" t="s">
        <v>134</v>
      </c>
      <c r="B47" s="4">
        <v>1</v>
      </c>
      <c r="C47" s="4">
        <v>1</v>
      </c>
      <c r="D47" s="4">
        <v>1</v>
      </c>
      <c r="E47" s="4">
        <v>0</v>
      </c>
      <c r="F47" s="4">
        <v>1</v>
      </c>
      <c r="G47" s="4">
        <v>3</v>
      </c>
      <c r="H47" s="5" t="s">
        <v>33</v>
      </c>
      <c r="I47" s="3" t="s">
        <v>67</v>
      </c>
      <c r="J47" s="6">
        <f>119638.7+24972.9-3000+3000-36.7-194.8+4258.2-0.1</f>
        <v>148638.2</v>
      </c>
      <c r="K47" s="6">
        <f>235820.6+17589.6+341.5-15-0.5</f>
        <v>253736.2</v>
      </c>
      <c r="L47" s="6">
        <v>178069.2</v>
      </c>
      <c r="M47" s="6">
        <f>199269.6-19158.2</f>
        <v>180111.4</v>
      </c>
      <c r="N47" s="6">
        <v>182258.3</v>
      </c>
      <c r="O47" s="88">
        <f>ROUND(((N47+3700)*104.8/100),1)</f>
        <v>194884.3</v>
      </c>
      <c r="P47" s="7">
        <f t="shared" si="15"/>
        <v>1137697.6</v>
      </c>
      <c r="Q47" s="9">
        <v>2021</v>
      </c>
    </row>
    <row r="48" spans="1:17" ht="15">
      <c r="A48" s="4" t="s">
        <v>134</v>
      </c>
      <c r="B48" s="4">
        <v>1</v>
      </c>
      <c r="C48" s="4">
        <v>1</v>
      </c>
      <c r="D48" s="4">
        <v>1</v>
      </c>
      <c r="E48" s="4">
        <v>0</v>
      </c>
      <c r="F48" s="4">
        <v>1</v>
      </c>
      <c r="G48" s="4">
        <v>5</v>
      </c>
      <c r="H48" s="5" t="s">
        <v>137</v>
      </c>
      <c r="I48" s="3" t="s">
        <v>67</v>
      </c>
      <c r="J48" s="6">
        <f>334069.2-0.1</f>
        <v>334069.10000000003</v>
      </c>
      <c r="K48" s="6">
        <v>497233.7</v>
      </c>
      <c r="L48" s="6">
        <v>0</v>
      </c>
      <c r="M48" s="6">
        <v>0</v>
      </c>
      <c r="N48" s="6">
        <v>0</v>
      </c>
      <c r="O48" s="6">
        <v>0</v>
      </c>
      <c r="P48" s="7">
        <f t="shared" si="15"/>
        <v>831302.8</v>
      </c>
      <c r="Q48" s="9">
        <v>2017</v>
      </c>
    </row>
    <row r="49" spans="1:17" ht="15">
      <c r="A49" s="4" t="s">
        <v>134</v>
      </c>
      <c r="B49" s="4">
        <v>1</v>
      </c>
      <c r="C49" s="4">
        <v>1</v>
      </c>
      <c r="D49" s="4">
        <v>1</v>
      </c>
      <c r="E49" s="4">
        <v>0</v>
      </c>
      <c r="F49" s="4">
        <v>1</v>
      </c>
      <c r="G49" s="4"/>
      <c r="H49" s="5" t="s">
        <v>267</v>
      </c>
      <c r="I49" s="3" t="s">
        <v>68</v>
      </c>
      <c r="J49" s="53">
        <v>7</v>
      </c>
      <c r="K49" s="53">
        <v>1</v>
      </c>
      <c r="L49" s="53">
        <v>1</v>
      </c>
      <c r="M49" s="53">
        <v>1</v>
      </c>
      <c r="N49" s="53">
        <v>1</v>
      </c>
      <c r="O49" s="53">
        <v>1</v>
      </c>
      <c r="P49" s="85">
        <f t="shared" si="15"/>
        <v>12</v>
      </c>
      <c r="Q49" s="9">
        <v>2021</v>
      </c>
    </row>
    <row r="50" spans="1:18" ht="33.75">
      <c r="A50" s="4" t="s">
        <v>134</v>
      </c>
      <c r="B50" s="4">
        <v>1</v>
      </c>
      <c r="C50" s="4">
        <v>1</v>
      </c>
      <c r="D50" s="4">
        <v>1</v>
      </c>
      <c r="E50" s="4">
        <v>0</v>
      </c>
      <c r="F50" s="4">
        <v>1</v>
      </c>
      <c r="G50" s="4"/>
      <c r="H50" s="5" t="s">
        <v>238</v>
      </c>
      <c r="I50" s="3" t="s">
        <v>30</v>
      </c>
      <c r="J50" s="18">
        <v>13491</v>
      </c>
      <c r="K50" s="18">
        <v>20624.9</v>
      </c>
      <c r="L50" s="6">
        <v>4000</v>
      </c>
      <c r="M50" s="6">
        <v>4000</v>
      </c>
      <c r="N50" s="6">
        <v>4000</v>
      </c>
      <c r="O50" s="6">
        <v>4000</v>
      </c>
      <c r="P50" s="7">
        <f t="shared" si="15"/>
        <v>50115.9</v>
      </c>
      <c r="Q50" s="9">
        <v>2021</v>
      </c>
      <c r="R50" s="16" t="s">
        <v>293</v>
      </c>
    </row>
    <row r="51" spans="1:17" ht="30">
      <c r="A51" s="4" t="s">
        <v>134</v>
      </c>
      <c r="B51" s="4">
        <v>1</v>
      </c>
      <c r="C51" s="4">
        <v>1</v>
      </c>
      <c r="D51" s="4">
        <v>1</v>
      </c>
      <c r="E51" s="4">
        <v>0</v>
      </c>
      <c r="F51" s="4">
        <v>1</v>
      </c>
      <c r="G51" s="4"/>
      <c r="H51" s="5" t="s">
        <v>182</v>
      </c>
      <c r="I51" s="3" t="s">
        <v>68</v>
      </c>
      <c r="J51" s="121">
        <v>5</v>
      </c>
      <c r="K51" s="121">
        <v>1</v>
      </c>
      <c r="L51" s="53">
        <v>0</v>
      </c>
      <c r="M51" s="53">
        <v>0</v>
      </c>
      <c r="N51" s="53">
        <v>0</v>
      </c>
      <c r="O51" s="53">
        <v>0</v>
      </c>
      <c r="P51" s="85">
        <f>SUM(J51:O51)</f>
        <v>6</v>
      </c>
      <c r="Q51" s="9">
        <v>2017</v>
      </c>
    </row>
    <row r="52" spans="1:18" ht="30">
      <c r="A52" s="4" t="s">
        <v>134</v>
      </c>
      <c r="B52" s="4">
        <v>1</v>
      </c>
      <c r="C52" s="4">
        <v>1</v>
      </c>
      <c r="D52" s="4">
        <v>1</v>
      </c>
      <c r="E52" s="4">
        <v>0</v>
      </c>
      <c r="F52" s="4">
        <v>2</v>
      </c>
      <c r="G52" s="4">
        <v>3</v>
      </c>
      <c r="H52" s="5" t="s">
        <v>291</v>
      </c>
      <c r="I52" s="3" t="s">
        <v>67</v>
      </c>
      <c r="J52" s="6">
        <f>45588.9+17941</f>
        <v>63529.9</v>
      </c>
      <c r="K52" s="6">
        <f>10000+16000+7964.5+9587.1-1985.4</f>
        <v>41566.2</v>
      </c>
      <c r="L52" s="6">
        <f>10000+872.5-0.1</f>
        <v>10872.4</v>
      </c>
      <c r="M52" s="6">
        <f>10360-360</f>
        <v>10000</v>
      </c>
      <c r="N52" s="6">
        <v>10000</v>
      </c>
      <c r="O52" s="88">
        <f>ROUND((N52*103.4/100),1)</f>
        <v>10340</v>
      </c>
      <c r="P52" s="7">
        <f t="shared" si="15"/>
        <v>146308.5</v>
      </c>
      <c r="Q52" s="9">
        <v>2021</v>
      </c>
      <c r="R52" s="16" t="s">
        <v>384</v>
      </c>
    </row>
    <row r="53" spans="1:17" ht="30">
      <c r="A53" s="4" t="s">
        <v>134</v>
      </c>
      <c r="B53" s="4">
        <v>1</v>
      </c>
      <c r="C53" s="4">
        <v>1</v>
      </c>
      <c r="D53" s="4">
        <v>1</v>
      </c>
      <c r="E53" s="4">
        <v>0</v>
      </c>
      <c r="F53" s="4">
        <v>2</v>
      </c>
      <c r="G53" s="4"/>
      <c r="H53" s="5" t="s">
        <v>268</v>
      </c>
      <c r="I53" s="3" t="s">
        <v>68</v>
      </c>
      <c r="J53" s="85">
        <v>14</v>
      </c>
      <c r="K53" s="85">
        <v>18</v>
      </c>
      <c r="L53" s="85">
        <v>4</v>
      </c>
      <c r="M53" s="85">
        <v>4</v>
      </c>
      <c r="N53" s="85">
        <v>4</v>
      </c>
      <c r="O53" s="85">
        <v>4</v>
      </c>
      <c r="P53" s="85">
        <f t="shared" si="15"/>
        <v>48</v>
      </c>
      <c r="Q53" s="9">
        <v>2021</v>
      </c>
    </row>
    <row r="54" spans="1:17" ht="30">
      <c r="A54" s="4" t="s">
        <v>134</v>
      </c>
      <c r="B54" s="4">
        <v>1</v>
      </c>
      <c r="C54" s="4">
        <v>1</v>
      </c>
      <c r="D54" s="4">
        <v>1</v>
      </c>
      <c r="E54" s="4">
        <v>0</v>
      </c>
      <c r="F54" s="4">
        <v>2</v>
      </c>
      <c r="G54" s="4"/>
      <c r="H54" s="5" t="s">
        <v>183</v>
      </c>
      <c r="I54" s="3" t="s">
        <v>68</v>
      </c>
      <c r="J54" s="85">
        <v>18</v>
      </c>
      <c r="K54" s="85">
        <v>4</v>
      </c>
      <c r="L54" s="85"/>
      <c r="M54" s="85"/>
      <c r="N54" s="85"/>
      <c r="O54" s="85"/>
      <c r="P54" s="85">
        <f>SUM(J54:O54)</f>
        <v>22</v>
      </c>
      <c r="Q54" s="9">
        <v>2017</v>
      </c>
    </row>
    <row r="55" spans="1:17" ht="15">
      <c r="A55" s="4" t="s">
        <v>134</v>
      </c>
      <c r="B55" s="4">
        <v>1</v>
      </c>
      <c r="C55" s="4">
        <v>1</v>
      </c>
      <c r="D55" s="4">
        <v>2</v>
      </c>
      <c r="E55" s="4">
        <v>0</v>
      </c>
      <c r="F55" s="4">
        <v>0</v>
      </c>
      <c r="G55" s="4"/>
      <c r="H55" s="5" t="s">
        <v>320</v>
      </c>
      <c r="I55" s="3" t="s">
        <v>67</v>
      </c>
      <c r="J55" s="6">
        <f aca="true" t="shared" si="16" ref="J55:O55">J56+J58+J57</f>
        <v>183666.09999999998</v>
      </c>
      <c r="K55" s="6">
        <f t="shared" si="16"/>
        <v>116342.2</v>
      </c>
      <c r="L55" s="6">
        <f t="shared" si="16"/>
        <v>0</v>
      </c>
      <c r="M55" s="6">
        <f t="shared" si="16"/>
        <v>0</v>
      </c>
      <c r="N55" s="6">
        <f t="shared" si="16"/>
        <v>0</v>
      </c>
      <c r="O55" s="6">
        <f t="shared" si="16"/>
        <v>0</v>
      </c>
      <c r="P55" s="6">
        <f>SUM(J55:O55)</f>
        <v>300008.3</v>
      </c>
      <c r="Q55" s="4">
        <v>2017</v>
      </c>
    </row>
    <row r="56" spans="1:17" ht="15">
      <c r="A56" s="4" t="s">
        <v>134</v>
      </c>
      <c r="B56" s="4">
        <v>1</v>
      </c>
      <c r="C56" s="4">
        <v>1</v>
      </c>
      <c r="D56" s="4">
        <v>2</v>
      </c>
      <c r="E56" s="4">
        <v>0</v>
      </c>
      <c r="F56" s="4">
        <v>0</v>
      </c>
      <c r="G56" s="4">
        <v>2</v>
      </c>
      <c r="H56" s="5" t="s">
        <v>32</v>
      </c>
      <c r="I56" s="3" t="s">
        <v>67</v>
      </c>
      <c r="J56" s="6">
        <f aca="true" t="shared" si="17" ref="J56:O56">J62</f>
        <v>69902.2</v>
      </c>
      <c r="K56" s="6">
        <f t="shared" si="17"/>
        <v>4400.3</v>
      </c>
      <c r="L56" s="6">
        <f t="shared" si="17"/>
        <v>0</v>
      </c>
      <c r="M56" s="6">
        <f t="shared" si="17"/>
        <v>0</v>
      </c>
      <c r="N56" s="6">
        <f t="shared" si="17"/>
        <v>0</v>
      </c>
      <c r="O56" s="6">
        <f t="shared" si="17"/>
        <v>0</v>
      </c>
      <c r="P56" s="6">
        <f>SUM(J56:O56)</f>
        <v>74302.5</v>
      </c>
      <c r="Q56" s="4">
        <v>2017</v>
      </c>
    </row>
    <row r="57" spans="1:17" ht="15">
      <c r="A57" s="4" t="s">
        <v>134</v>
      </c>
      <c r="B57" s="4">
        <v>1</v>
      </c>
      <c r="C57" s="4">
        <v>1</v>
      </c>
      <c r="D57" s="4">
        <v>2</v>
      </c>
      <c r="E57" s="4">
        <v>0</v>
      </c>
      <c r="F57" s="4">
        <v>0</v>
      </c>
      <c r="G57" s="4">
        <v>3</v>
      </c>
      <c r="H57" s="5" t="s">
        <v>33</v>
      </c>
      <c r="I57" s="3" t="s">
        <v>67</v>
      </c>
      <c r="J57" s="6">
        <f aca="true" t="shared" si="18" ref="J57:O57">J68</f>
        <v>957.3</v>
      </c>
      <c r="K57" s="6">
        <f t="shared" si="18"/>
        <v>2094.5</v>
      </c>
      <c r="L57" s="6">
        <f t="shared" si="18"/>
        <v>0</v>
      </c>
      <c r="M57" s="6">
        <f t="shared" si="18"/>
        <v>0</v>
      </c>
      <c r="N57" s="6">
        <f t="shared" si="18"/>
        <v>0</v>
      </c>
      <c r="O57" s="6">
        <f t="shared" si="18"/>
        <v>0</v>
      </c>
      <c r="P57" s="6">
        <f>SUM(J57:O57)</f>
        <v>3051.8</v>
      </c>
      <c r="Q57" s="9">
        <v>2017</v>
      </c>
    </row>
    <row r="58" spans="1:17" ht="15">
      <c r="A58" s="4" t="s">
        <v>134</v>
      </c>
      <c r="B58" s="4">
        <v>1</v>
      </c>
      <c r="C58" s="4">
        <v>1</v>
      </c>
      <c r="D58" s="4">
        <v>2</v>
      </c>
      <c r="E58" s="4">
        <v>0</v>
      </c>
      <c r="F58" s="4">
        <v>0</v>
      </c>
      <c r="G58" s="4">
        <v>5</v>
      </c>
      <c r="H58" s="5" t="s">
        <v>137</v>
      </c>
      <c r="I58" s="3" t="s">
        <v>67</v>
      </c>
      <c r="J58" s="6">
        <f aca="true" t="shared" si="19" ref="J58:P58">J63</f>
        <v>112806.59999999999</v>
      </c>
      <c r="K58" s="6">
        <f t="shared" si="19"/>
        <v>109847.4</v>
      </c>
      <c r="L58" s="6">
        <f t="shared" si="19"/>
        <v>0</v>
      </c>
      <c r="M58" s="6">
        <f t="shared" si="19"/>
        <v>0</v>
      </c>
      <c r="N58" s="6">
        <f t="shared" si="19"/>
        <v>0</v>
      </c>
      <c r="O58" s="6">
        <f t="shared" si="19"/>
        <v>0</v>
      </c>
      <c r="P58" s="6">
        <f t="shared" si="19"/>
        <v>222654</v>
      </c>
      <c r="Q58" s="4">
        <v>2017</v>
      </c>
    </row>
    <row r="59" spans="1:17" ht="45">
      <c r="A59" s="4" t="s">
        <v>134</v>
      </c>
      <c r="B59" s="4">
        <v>1</v>
      </c>
      <c r="C59" s="4">
        <v>1</v>
      </c>
      <c r="D59" s="4">
        <v>2</v>
      </c>
      <c r="E59" s="4">
        <v>0</v>
      </c>
      <c r="F59" s="4">
        <v>0</v>
      </c>
      <c r="G59" s="4"/>
      <c r="H59" s="5" t="s">
        <v>354</v>
      </c>
      <c r="I59" s="3" t="s">
        <v>69</v>
      </c>
      <c r="J59" s="6">
        <f>расчет_показ!E73</f>
        <v>9.801560802198907</v>
      </c>
      <c r="K59" s="6">
        <f>расчет_показ!F73</f>
        <v>3.4822028076521523</v>
      </c>
      <c r="L59" s="6">
        <f>расчет_показ!G73</f>
        <v>0.2301512007681251</v>
      </c>
      <c r="M59" s="6">
        <f>расчет_показ!H73</f>
        <v>0.2410684152162384</v>
      </c>
      <c r="N59" s="6">
        <f>расчет_показ!I73</f>
        <v>0.2435806748938476</v>
      </c>
      <c r="O59" s="6">
        <f>расчет_показ!J73</f>
        <v>0.257117791831265</v>
      </c>
      <c r="P59" s="6">
        <f>O59</f>
        <v>0.257117791831265</v>
      </c>
      <c r="Q59" s="4">
        <v>2021</v>
      </c>
    </row>
    <row r="60" spans="1:17" ht="45">
      <c r="A60" s="4" t="s">
        <v>134</v>
      </c>
      <c r="B60" s="4">
        <v>1</v>
      </c>
      <c r="C60" s="4">
        <v>1</v>
      </c>
      <c r="D60" s="4">
        <v>2</v>
      </c>
      <c r="E60" s="4">
        <v>0</v>
      </c>
      <c r="F60" s="4">
        <v>0</v>
      </c>
      <c r="G60" s="4"/>
      <c r="H60" s="5" t="s">
        <v>396</v>
      </c>
      <c r="I60" s="3" t="s">
        <v>69</v>
      </c>
      <c r="J60" s="6">
        <f>расчет_показ!E76</f>
        <v>23.39049544994944</v>
      </c>
      <c r="K60" s="6">
        <f>расчет_показ!F76</f>
        <v>29.5534060506277</v>
      </c>
      <c r="L60" s="6">
        <f>расчет_показ!G76</f>
        <v>20.50267225191391</v>
      </c>
      <c r="M60" s="6">
        <f>расчет_показ!H76</f>
        <v>20.50267225191391</v>
      </c>
      <c r="N60" s="6">
        <f>расчет_показ!I76</f>
        <v>20.50267225191391</v>
      </c>
      <c r="O60" s="6">
        <f>расчет_показ!J76</f>
        <v>20.50267225191391</v>
      </c>
      <c r="P60" s="6">
        <f>O60</f>
        <v>20.50267225191391</v>
      </c>
      <c r="Q60" s="4">
        <v>2021</v>
      </c>
    </row>
    <row r="61" spans="1:18" ht="45">
      <c r="A61" s="4" t="s">
        <v>134</v>
      </c>
      <c r="B61" s="4">
        <v>1</v>
      </c>
      <c r="C61" s="4">
        <v>1</v>
      </c>
      <c r="D61" s="4">
        <v>2</v>
      </c>
      <c r="E61" s="4">
        <v>0</v>
      </c>
      <c r="F61" s="4">
        <v>1</v>
      </c>
      <c r="G61" s="26"/>
      <c r="H61" s="5" t="s">
        <v>139</v>
      </c>
      <c r="I61" s="3" t="s">
        <v>67</v>
      </c>
      <c r="J61" s="18">
        <f aca="true" t="shared" si="20" ref="J61:P61">J62+J63</f>
        <v>182708.8</v>
      </c>
      <c r="K61" s="18">
        <f t="shared" si="20"/>
        <v>114247.7</v>
      </c>
      <c r="L61" s="18">
        <f t="shared" si="20"/>
        <v>0</v>
      </c>
      <c r="M61" s="18">
        <f t="shared" si="20"/>
        <v>0</v>
      </c>
      <c r="N61" s="18">
        <f t="shared" si="20"/>
        <v>0</v>
      </c>
      <c r="O61" s="18">
        <f t="shared" si="20"/>
        <v>0</v>
      </c>
      <c r="P61" s="18">
        <f t="shared" si="20"/>
        <v>296956.5</v>
      </c>
      <c r="Q61" s="4">
        <v>2017</v>
      </c>
      <c r="R61" s="16" t="s">
        <v>382</v>
      </c>
    </row>
    <row r="62" spans="1:17" ht="15">
      <c r="A62" s="4" t="s">
        <v>134</v>
      </c>
      <c r="B62" s="4">
        <v>1</v>
      </c>
      <c r="C62" s="4">
        <v>1</v>
      </c>
      <c r="D62" s="4">
        <v>2</v>
      </c>
      <c r="E62" s="4">
        <v>0</v>
      </c>
      <c r="F62" s="4">
        <v>1</v>
      </c>
      <c r="G62" s="4">
        <v>2</v>
      </c>
      <c r="H62" s="5" t="s">
        <v>32</v>
      </c>
      <c r="I62" s="3" t="s">
        <v>67</v>
      </c>
      <c r="J62" s="14">
        <f>18137+70358.7-18593.5</f>
        <v>69902.2</v>
      </c>
      <c r="K62" s="14">
        <v>4400.3</v>
      </c>
      <c r="L62" s="14">
        <v>0</v>
      </c>
      <c r="M62" s="14">
        <v>0</v>
      </c>
      <c r="N62" s="14">
        <v>0</v>
      </c>
      <c r="O62" s="14">
        <v>0</v>
      </c>
      <c r="P62" s="14">
        <f>J62+K62</f>
        <v>74302.5</v>
      </c>
      <c r="Q62" s="4">
        <v>2017</v>
      </c>
    </row>
    <row r="63" spans="1:17" ht="15">
      <c r="A63" s="4" t="s">
        <v>134</v>
      </c>
      <c r="B63" s="4">
        <v>1</v>
      </c>
      <c r="C63" s="4">
        <v>1</v>
      </c>
      <c r="D63" s="4">
        <v>2</v>
      </c>
      <c r="E63" s="4">
        <v>0</v>
      </c>
      <c r="F63" s="4">
        <v>1</v>
      </c>
      <c r="G63" s="4">
        <v>5</v>
      </c>
      <c r="H63" s="5" t="s">
        <v>137</v>
      </c>
      <c r="I63" s="3" t="s">
        <v>67</v>
      </c>
      <c r="J63" s="14">
        <f>61621+66440.9-15255.3</f>
        <v>112806.59999999999</v>
      </c>
      <c r="K63" s="14">
        <v>109847.4</v>
      </c>
      <c r="L63" s="14">
        <v>0</v>
      </c>
      <c r="M63" s="14">
        <v>0</v>
      </c>
      <c r="N63" s="14">
        <v>0</v>
      </c>
      <c r="O63" s="14">
        <v>0</v>
      </c>
      <c r="P63" s="14">
        <f>J63+K63</f>
        <v>222654</v>
      </c>
      <c r="Q63" s="4">
        <v>2017</v>
      </c>
    </row>
    <row r="64" spans="1:17" ht="15">
      <c r="A64" s="4" t="s">
        <v>134</v>
      </c>
      <c r="B64" s="4">
        <v>1</v>
      </c>
      <c r="C64" s="4">
        <v>1</v>
      </c>
      <c r="D64" s="4">
        <v>2</v>
      </c>
      <c r="E64" s="4">
        <v>0</v>
      </c>
      <c r="F64" s="4">
        <v>1</v>
      </c>
      <c r="G64" s="26"/>
      <c r="H64" s="5" t="s">
        <v>315</v>
      </c>
      <c r="I64" s="122" t="s">
        <v>66</v>
      </c>
      <c r="J64" s="123">
        <v>5015.34</v>
      </c>
      <c r="K64" s="123">
        <v>3588.78</v>
      </c>
      <c r="L64" s="14"/>
      <c r="M64" s="14"/>
      <c r="N64" s="14"/>
      <c r="O64" s="14"/>
      <c r="P64" s="14">
        <f>J64+K64</f>
        <v>8604.12</v>
      </c>
      <c r="Q64" s="4">
        <v>2017</v>
      </c>
    </row>
    <row r="65" spans="1:18" ht="60">
      <c r="A65" s="4" t="s">
        <v>134</v>
      </c>
      <c r="B65" s="4">
        <v>1</v>
      </c>
      <c r="C65" s="4">
        <v>1</v>
      </c>
      <c r="D65" s="4">
        <v>2</v>
      </c>
      <c r="E65" s="4">
        <v>0</v>
      </c>
      <c r="F65" s="4">
        <v>2</v>
      </c>
      <c r="G65" s="26"/>
      <c r="H65" s="5" t="s">
        <v>248</v>
      </c>
      <c r="I65" s="3" t="s">
        <v>56</v>
      </c>
      <c r="J65" s="3" t="s">
        <v>70</v>
      </c>
      <c r="K65" s="3" t="s">
        <v>70</v>
      </c>
      <c r="L65" s="92" t="s">
        <v>70</v>
      </c>
      <c r="M65" s="3" t="s">
        <v>70</v>
      </c>
      <c r="N65" s="3" t="s">
        <v>70</v>
      </c>
      <c r="O65" s="3" t="s">
        <v>70</v>
      </c>
      <c r="P65" s="3" t="s">
        <v>70</v>
      </c>
      <c r="Q65" s="4">
        <v>2017</v>
      </c>
      <c r="R65" s="16" t="s">
        <v>383</v>
      </c>
    </row>
    <row r="66" spans="1:17" ht="75">
      <c r="A66" s="4" t="s">
        <v>134</v>
      </c>
      <c r="B66" s="4">
        <v>1</v>
      </c>
      <c r="C66" s="4">
        <v>1</v>
      </c>
      <c r="D66" s="4">
        <v>2</v>
      </c>
      <c r="E66" s="4">
        <v>0</v>
      </c>
      <c r="F66" s="4">
        <v>2</v>
      </c>
      <c r="G66" s="26"/>
      <c r="H66" s="5" t="s">
        <v>271</v>
      </c>
      <c r="I66" s="31" t="s">
        <v>68</v>
      </c>
      <c r="J66" s="85">
        <v>15</v>
      </c>
      <c r="K66" s="85">
        <v>17</v>
      </c>
      <c r="L66" s="85">
        <v>2</v>
      </c>
      <c r="M66" s="85">
        <v>3</v>
      </c>
      <c r="N66" s="85">
        <v>3</v>
      </c>
      <c r="O66" s="85">
        <v>3</v>
      </c>
      <c r="P66" s="85">
        <f>J66+K66</f>
        <v>32</v>
      </c>
      <c r="Q66" s="4">
        <v>2021</v>
      </c>
    </row>
    <row r="67" spans="1:17" ht="60">
      <c r="A67" s="4" t="s">
        <v>134</v>
      </c>
      <c r="B67" s="4">
        <v>1</v>
      </c>
      <c r="C67" s="4">
        <v>1</v>
      </c>
      <c r="D67" s="4">
        <v>2</v>
      </c>
      <c r="E67" s="4">
        <v>0</v>
      </c>
      <c r="F67" s="4">
        <v>2</v>
      </c>
      <c r="G67" s="26"/>
      <c r="H67" s="5" t="s">
        <v>270</v>
      </c>
      <c r="I67" s="31" t="s">
        <v>68</v>
      </c>
      <c r="J67" s="85">
        <v>11</v>
      </c>
      <c r="K67" s="85">
        <v>3</v>
      </c>
      <c r="L67" s="85">
        <v>1</v>
      </c>
      <c r="M67" s="85">
        <v>2</v>
      </c>
      <c r="N67" s="85">
        <v>2</v>
      </c>
      <c r="O67" s="85">
        <v>3</v>
      </c>
      <c r="P67" s="85">
        <f>J67+K67</f>
        <v>14</v>
      </c>
      <c r="Q67" s="4">
        <v>2021</v>
      </c>
    </row>
    <row r="68" spans="1:18" ht="45">
      <c r="A68" s="4" t="s">
        <v>134</v>
      </c>
      <c r="B68" s="4">
        <v>1</v>
      </c>
      <c r="C68" s="4">
        <v>1</v>
      </c>
      <c r="D68" s="4">
        <v>2</v>
      </c>
      <c r="E68" s="4">
        <v>0</v>
      </c>
      <c r="F68" s="4">
        <v>3</v>
      </c>
      <c r="G68" s="26"/>
      <c r="H68" s="5" t="s">
        <v>341</v>
      </c>
      <c r="I68" s="3" t="s">
        <v>67</v>
      </c>
      <c r="J68" s="81">
        <f>357.3+600</f>
        <v>957.3</v>
      </c>
      <c r="K68" s="55">
        <f>1807+287.5</f>
        <v>2094.5</v>
      </c>
      <c r="L68" s="13">
        <v>0</v>
      </c>
      <c r="M68" s="55">
        <v>0</v>
      </c>
      <c r="N68" s="55">
        <v>0</v>
      </c>
      <c r="O68" s="55">
        <v>0</v>
      </c>
      <c r="P68" s="81">
        <f>SUM(J68:O68)</f>
        <v>3051.8</v>
      </c>
      <c r="Q68" s="4">
        <v>2017</v>
      </c>
      <c r="R68" s="16" t="s">
        <v>382</v>
      </c>
    </row>
    <row r="69" spans="1:17" ht="30">
      <c r="A69" s="4" t="s">
        <v>134</v>
      </c>
      <c r="B69" s="4">
        <v>1</v>
      </c>
      <c r="C69" s="4">
        <v>1</v>
      </c>
      <c r="D69" s="4">
        <v>2</v>
      </c>
      <c r="E69" s="4">
        <v>0</v>
      </c>
      <c r="F69" s="4">
        <v>3</v>
      </c>
      <c r="G69" s="26"/>
      <c r="H69" s="5" t="s">
        <v>269</v>
      </c>
      <c r="I69" s="31" t="s">
        <v>68</v>
      </c>
      <c r="J69" s="85">
        <v>40</v>
      </c>
      <c r="K69" s="85">
        <v>12</v>
      </c>
      <c r="L69" s="85">
        <v>0</v>
      </c>
      <c r="M69" s="85">
        <v>0</v>
      </c>
      <c r="N69" s="85">
        <v>0</v>
      </c>
      <c r="O69" s="85">
        <v>0</v>
      </c>
      <c r="P69" s="85">
        <f>J69+K69</f>
        <v>52</v>
      </c>
      <c r="Q69" s="4">
        <v>2017</v>
      </c>
    </row>
    <row r="70" spans="1:17" ht="30">
      <c r="A70" s="4" t="s">
        <v>134</v>
      </c>
      <c r="B70" s="4">
        <v>1</v>
      </c>
      <c r="C70" s="4">
        <v>1</v>
      </c>
      <c r="D70" s="4">
        <v>2</v>
      </c>
      <c r="E70" s="4">
        <v>0</v>
      </c>
      <c r="F70" s="4">
        <v>3</v>
      </c>
      <c r="G70" s="26"/>
      <c r="H70" s="5" t="s">
        <v>342</v>
      </c>
      <c r="I70" s="31" t="s">
        <v>68</v>
      </c>
      <c r="J70" s="85">
        <v>95</v>
      </c>
      <c r="K70" s="85">
        <v>180</v>
      </c>
      <c r="L70" s="85"/>
      <c r="M70" s="85"/>
      <c r="N70" s="85"/>
      <c r="O70" s="85"/>
      <c r="P70" s="85">
        <f>J70+K70</f>
        <v>275</v>
      </c>
      <c r="Q70" s="4">
        <v>2017</v>
      </c>
    </row>
    <row r="71" spans="1:17" ht="30">
      <c r="A71" s="4" t="s">
        <v>134</v>
      </c>
      <c r="B71" s="4">
        <v>1</v>
      </c>
      <c r="C71" s="4">
        <v>1</v>
      </c>
      <c r="D71" s="4">
        <v>2</v>
      </c>
      <c r="E71" s="4">
        <v>0</v>
      </c>
      <c r="F71" s="4">
        <v>3</v>
      </c>
      <c r="G71" s="26"/>
      <c r="H71" s="5" t="s">
        <v>344</v>
      </c>
      <c r="I71" s="31" t="s">
        <v>68</v>
      </c>
      <c r="J71" s="85"/>
      <c r="K71" s="85">
        <v>4</v>
      </c>
      <c r="L71" s="85"/>
      <c r="M71" s="85"/>
      <c r="N71" s="85"/>
      <c r="O71" s="85"/>
      <c r="P71" s="85">
        <f>J71+K71</f>
        <v>4</v>
      </c>
      <c r="Q71" s="4">
        <v>2017</v>
      </c>
    </row>
    <row r="72" spans="1:17" ht="28.5">
      <c r="A72" s="78" t="s">
        <v>134</v>
      </c>
      <c r="B72" s="78">
        <v>1</v>
      </c>
      <c r="C72" s="78">
        <v>2</v>
      </c>
      <c r="D72" s="78">
        <v>0</v>
      </c>
      <c r="E72" s="78">
        <v>0</v>
      </c>
      <c r="F72" s="78">
        <v>0</v>
      </c>
      <c r="G72" s="78"/>
      <c r="H72" s="60" t="s">
        <v>292</v>
      </c>
      <c r="I72" s="61" t="s">
        <v>67</v>
      </c>
      <c r="J72" s="80">
        <f aca="true" t="shared" si="21" ref="J72:P72">J75+J74</f>
        <v>116853.79999999999</v>
      </c>
      <c r="K72" s="80">
        <f t="shared" si="21"/>
        <v>94848</v>
      </c>
      <c r="L72" s="80">
        <f t="shared" si="21"/>
        <v>222213.5</v>
      </c>
      <c r="M72" s="80">
        <f t="shared" si="21"/>
        <v>262269.8</v>
      </c>
      <c r="N72" s="80">
        <f t="shared" si="21"/>
        <v>224700</v>
      </c>
      <c r="O72" s="80">
        <f t="shared" si="21"/>
        <v>607726.5</v>
      </c>
      <c r="P72" s="80">
        <f t="shared" si="21"/>
        <v>1528611.5999999999</v>
      </c>
      <c r="Q72" s="62">
        <v>2021</v>
      </c>
    </row>
    <row r="73" spans="1:17" ht="15">
      <c r="A73" s="4" t="s">
        <v>134</v>
      </c>
      <c r="B73" s="4">
        <v>1</v>
      </c>
      <c r="C73" s="4">
        <v>2</v>
      </c>
      <c r="D73" s="4">
        <v>0</v>
      </c>
      <c r="E73" s="4">
        <v>0</v>
      </c>
      <c r="F73" s="4">
        <v>0</v>
      </c>
      <c r="G73" s="78">
        <v>1</v>
      </c>
      <c r="H73" s="5" t="s">
        <v>31</v>
      </c>
      <c r="I73" s="3" t="s">
        <v>67</v>
      </c>
      <c r="J73" s="80"/>
      <c r="K73" s="80"/>
      <c r="L73" s="6">
        <f>L149</f>
        <v>0</v>
      </c>
      <c r="M73" s="6">
        <f>M149</f>
        <v>0</v>
      </c>
      <c r="N73" s="6">
        <f>N149</f>
        <v>0</v>
      </c>
      <c r="O73" s="6">
        <f>O149</f>
        <v>0</v>
      </c>
      <c r="P73" s="6">
        <f>P149</f>
        <v>0</v>
      </c>
      <c r="Q73" s="62"/>
    </row>
    <row r="74" spans="1:17" ht="15">
      <c r="A74" s="4" t="s">
        <v>134</v>
      </c>
      <c r="B74" s="4">
        <v>1</v>
      </c>
      <c r="C74" s="4">
        <v>2</v>
      </c>
      <c r="D74" s="4">
        <v>0</v>
      </c>
      <c r="E74" s="4">
        <v>0</v>
      </c>
      <c r="F74" s="4">
        <v>0</v>
      </c>
      <c r="G74" s="4">
        <v>2</v>
      </c>
      <c r="H74" s="5" t="s">
        <v>32</v>
      </c>
      <c r="I74" s="3" t="s">
        <v>67</v>
      </c>
      <c r="J74" s="6">
        <f aca="true" t="shared" si="22" ref="J74:O74">J150+J77</f>
        <v>16942.7</v>
      </c>
      <c r="K74" s="6">
        <f t="shared" si="22"/>
        <v>0</v>
      </c>
      <c r="L74" s="6">
        <f t="shared" si="22"/>
        <v>52501.4</v>
      </c>
      <c r="M74" s="6">
        <f t="shared" si="22"/>
        <v>52368.6</v>
      </c>
      <c r="N74" s="6">
        <f t="shared" si="22"/>
        <v>0</v>
      </c>
      <c r="O74" s="6">
        <f t="shared" si="22"/>
        <v>40000</v>
      </c>
      <c r="P74" s="6">
        <f>SUM(J74:O74)</f>
        <v>161812.7</v>
      </c>
      <c r="Q74" s="9">
        <v>2021</v>
      </c>
    </row>
    <row r="75" spans="1:17" ht="15">
      <c r="A75" s="4" t="s">
        <v>134</v>
      </c>
      <c r="B75" s="4">
        <v>1</v>
      </c>
      <c r="C75" s="4">
        <v>2</v>
      </c>
      <c r="D75" s="4">
        <v>0</v>
      </c>
      <c r="E75" s="4">
        <v>0</v>
      </c>
      <c r="F75" s="4">
        <v>0</v>
      </c>
      <c r="G75" s="4">
        <v>3</v>
      </c>
      <c r="H75" s="5" t="s">
        <v>33</v>
      </c>
      <c r="I75" s="3" t="s">
        <v>67</v>
      </c>
      <c r="J75" s="6">
        <f aca="true" t="shared" si="23" ref="J75:O75">J78+J151</f>
        <v>99911.09999999999</v>
      </c>
      <c r="K75" s="6">
        <f t="shared" si="23"/>
        <v>94848</v>
      </c>
      <c r="L75" s="6">
        <f t="shared" si="23"/>
        <v>169712.1</v>
      </c>
      <c r="M75" s="6">
        <f t="shared" si="23"/>
        <v>209901.2</v>
      </c>
      <c r="N75" s="6">
        <f t="shared" si="23"/>
        <v>224700</v>
      </c>
      <c r="O75" s="6">
        <f t="shared" si="23"/>
        <v>567726.5</v>
      </c>
      <c r="P75" s="6">
        <f>SUM(J75:O75)</f>
        <v>1366798.9</v>
      </c>
      <c r="Q75" s="9">
        <v>2021</v>
      </c>
    </row>
    <row r="76" spans="1:17" ht="15">
      <c r="A76" s="4" t="s">
        <v>134</v>
      </c>
      <c r="B76" s="4">
        <v>1</v>
      </c>
      <c r="C76" s="4">
        <v>2</v>
      </c>
      <c r="D76" s="4">
        <v>1</v>
      </c>
      <c r="E76" s="4">
        <v>0</v>
      </c>
      <c r="F76" s="4">
        <v>0</v>
      </c>
      <c r="G76" s="4"/>
      <c r="H76" s="5" t="s">
        <v>28</v>
      </c>
      <c r="I76" s="3" t="s">
        <v>67</v>
      </c>
      <c r="J76" s="7">
        <f aca="true" t="shared" si="24" ref="J76:P76">J78+J77</f>
        <v>88852.09999999999</v>
      </c>
      <c r="K76" s="7">
        <f t="shared" si="24"/>
        <v>76678.5</v>
      </c>
      <c r="L76" s="7">
        <f t="shared" si="24"/>
        <v>121937.2</v>
      </c>
      <c r="M76" s="7">
        <f t="shared" si="24"/>
        <v>186701.2</v>
      </c>
      <c r="N76" s="7">
        <f t="shared" si="24"/>
        <v>114700</v>
      </c>
      <c r="O76" s="7">
        <f t="shared" si="24"/>
        <v>346425.1</v>
      </c>
      <c r="P76" s="7">
        <f t="shared" si="24"/>
        <v>935294.1</v>
      </c>
      <c r="Q76" s="9">
        <v>2021</v>
      </c>
    </row>
    <row r="77" spans="1:17" ht="15">
      <c r="A77" s="4" t="s">
        <v>134</v>
      </c>
      <c r="B77" s="4">
        <v>1</v>
      </c>
      <c r="C77" s="4">
        <v>2</v>
      </c>
      <c r="D77" s="4">
        <v>1</v>
      </c>
      <c r="E77" s="4">
        <v>0</v>
      </c>
      <c r="F77" s="4">
        <v>0</v>
      </c>
      <c r="G77" s="4">
        <v>2</v>
      </c>
      <c r="H77" s="5" t="s">
        <v>32</v>
      </c>
      <c r="I77" s="3" t="s">
        <v>67</v>
      </c>
      <c r="J77" s="7">
        <f aca="true" t="shared" si="25" ref="J77:O77">J116</f>
        <v>5000</v>
      </c>
      <c r="K77" s="7">
        <f t="shared" si="25"/>
        <v>0</v>
      </c>
      <c r="L77" s="7">
        <f t="shared" si="25"/>
        <v>0</v>
      </c>
      <c r="M77" s="7">
        <f t="shared" si="25"/>
        <v>0</v>
      </c>
      <c r="N77" s="7">
        <f t="shared" si="25"/>
        <v>0</v>
      </c>
      <c r="O77" s="7">
        <f t="shared" si="25"/>
        <v>0</v>
      </c>
      <c r="P77" s="7">
        <f>SUM(J77:O77)</f>
        <v>5000</v>
      </c>
      <c r="Q77" s="9">
        <v>2021</v>
      </c>
    </row>
    <row r="78" spans="1:17" ht="15">
      <c r="A78" s="4" t="s">
        <v>134</v>
      </c>
      <c r="B78" s="4">
        <v>1</v>
      </c>
      <c r="C78" s="4">
        <v>2</v>
      </c>
      <c r="D78" s="4">
        <v>1</v>
      </c>
      <c r="E78" s="4">
        <v>0</v>
      </c>
      <c r="F78" s="4">
        <v>0</v>
      </c>
      <c r="G78" s="4">
        <v>3</v>
      </c>
      <c r="H78" s="5" t="s">
        <v>33</v>
      </c>
      <c r="I78" s="3" t="s">
        <v>67</v>
      </c>
      <c r="J78" s="7">
        <f aca="true" t="shared" si="26" ref="J78:O78">J81+J85+J89+J92+J96+J100+J103+J106+J110+J112+J117+J121+J123+J125+J128+J130+J132+J140+J138+J134+J143+J145</f>
        <v>83852.09999999999</v>
      </c>
      <c r="K78" s="7">
        <f t="shared" si="26"/>
        <v>76678.5</v>
      </c>
      <c r="L78" s="7">
        <f t="shared" si="26"/>
        <v>121937.2</v>
      </c>
      <c r="M78" s="7">
        <f t="shared" si="26"/>
        <v>186701.2</v>
      </c>
      <c r="N78" s="7">
        <f t="shared" si="26"/>
        <v>114700</v>
      </c>
      <c r="O78" s="7">
        <f t="shared" si="26"/>
        <v>346425.1</v>
      </c>
      <c r="P78" s="7">
        <f>SUM(J78:O78)</f>
        <v>930294.1</v>
      </c>
      <c r="Q78" s="9">
        <v>2021</v>
      </c>
    </row>
    <row r="79" spans="1:17" ht="15">
      <c r="A79" s="4" t="s">
        <v>134</v>
      </c>
      <c r="B79" s="4">
        <v>1</v>
      </c>
      <c r="C79" s="4">
        <v>2</v>
      </c>
      <c r="D79" s="4">
        <v>1</v>
      </c>
      <c r="E79" s="4">
        <v>0</v>
      </c>
      <c r="F79" s="4">
        <v>0</v>
      </c>
      <c r="G79" s="4"/>
      <c r="H79" s="5" t="s">
        <v>119</v>
      </c>
      <c r="I79" s="3" t="s">
        <v>245</v>
      </c>
      <c r="J79" s="23">
        <f>расчет_показ!E80</f>
        <v>0.8708312683225953</v>
      </c>
      <c r="K79" s="23">
        <f>расчет_показ!F80</f>
        <v>1.148730765352537</v>
      </c>
      <c r="L79" s="25">
        <f>расчет_показ!G80</f>
        <v>1.9657097774670267</v>
      </c>
      <c r="M79" s="23">
        <f>расчет_показ!H80</f>
        <v>1.9767904413760855</v>
      </c>
      <c r="N79" s="23">
        <f>расчет_показ!I80</f>
        <v>1.9903974966564097</v>
      </c>
      <c r="O79" s="23">
        <f>расчет_показ!J80</f>
        <v>1.9912617884413164</v>
      </c>
      <c r="P79" s="23">
        <f>O79</f>
        <v>1.9912617884413164</v>
      </c>
      <c r="Q79" s="9">
        <v>2021</v>
      </c>
    </row>
    <row r="80" spans="1:17" ht="30">
      <c r="A80" s="4" t="s">
        <v>134</v>
      </c>
      <c r="B80" s="4">
        <v>1</v>
      </c>
      <c r="C80" s="4">
        <v>2</v>
      </c>
      <c r="D80" s="4">
        <v>1</v>
      </c>
      <c r="E80" s="4">
        <v>0</v>
      </c>
      <c r="F80" s="4">
        <v>0</v>
      </c>
      <c r="G80" s="4"/>
      <c r="H80" s="5" t="s">
        <v>272</v>
      </c>
      <c r="I80" s="3" t="s">
        <v>170</v>
      </c>
      <c r="J80" s="52">
        <f>расчет_показ!E84</f>
        <v>0.547893153692113</v>
      </c>
      <c r="K80" s="52">
        <f>расчет_показ!F84</f>
        <v>0.5502710538001995</v>
      </c>
      <c r="L80" s="25">
        <f>расчет_показ!G84</f>
        <v>0.5489522325281317</v>
      </c>
      <c r="M80" s="52">
        <f>расчет_показ!H84</f>
        <v>0.5489522325281317</v>
      </c>
      <c r="N80" s="52">
        <f>расчет_показ!I84</f>
        <v>0.5489522325281317</v>
      </c>
      <c r="O80" s="52">
        <f>расчет_показ!J84</f>
        <v>0.5518965387225699</v>
      </c>
      <c r="P80" s="52">
        <f>O80</f>
        <v>0.5518965387225699</v>
      </c>
      <c r="Q80" s="9">
        <v>2021</v>
      </c>
    </row>
    <row r="81" spans="1:18" ht="30">
      <c r="A81" s="4" t="s">
        <v>134</v>
      </c>
      <c r="B81" s="4">
        <v>1</v>
      </c>
      <c r="C81" s="4">
        <v>2</v>
      </c>
      <c r="D81" s="4">
        <v>1</v>
      </c>
      <c r="E81" s="4">
        <v>0</v>
      </c>
      <c r="F81" s="4">
        <v>1</v>
      </c>
      <c r="G81" s="4">
        <v>3</v>
      </c>
      <c r="H81" s="5" t="s">
        <v>318</v>
      </c>
      <c r="I81" s="3" t="s">
        <v>67</v>
      </c>
      <c r="J81" s="7">
        <f>1650+99.7+99.7+99.7+0.9-1650-0.9+0.1</f>
        <v>299.2000000000003</v>
      </c>
      <c r="K81" s="6">
        <f>30368.5-28718.5+99.4</f>
        <v>1749.4</v>
      </c>
      <c r="L81" s="6">
        <v>0</v>
      </c>
      <c r="M81" s="6">
        <v>9800</v>
      </c>
      <c r="N81" s="6">
        <v>0</v>
      </c>
      <c r="O81" s="6">
        <v>0</v>
      </c>
      <c r="P81" s="7">
        <f>SUM(J81:O81)</f>
        <v>11848.6</v>
      </c>
      <c r="Q81" s="9">
        <v>2019</v>
      </c>
      <c r="R81" s="16" t="s">
        <v>384</v>
      </c>
    </row>
    <row r="82" spans="1:17" ht="15">
      <c r="A82" s="4" t="s">
        <v>134</v>
      </c>
      <c r="B82" s="4">
        <v>1</v>
      </c>
      <c r="C82" s="4">
        <v>2</v>
      </c>
      <c r="D82" s="4">
        <v>1</v>
      </c>
      <c r="E82" s="4">
        <v>0</v>
      </c>
      <c r="F82" s="4">
        <v>1</v>
      </c>
      <c r="G82" s="4"/>
      <c r="H82" s="5" t="s">
        <v>434</v>
      </c>
      <c r="I82" s="3" t="s">
        <v>171</v>
      </c>
      <c r="J82" s="7">
        <f>150+150+150</f>
        <v>450</v>
      </c>
      <c r="K82" s="6">
        <v>125</v>
      </c>
      <c r="L82" s="6"/>
      <c r="M82" s="6"/>
      <c r="N82" s="6"/>
      <c r="O82" s="6"/>
      <c r="P82" s="89">
        <f aca="true" t="shared" si="27" ref="P82:P122">SUM(J82:O82)</f>
        <v>575</v>
      </c>
      <c r="Q82" s="9">
        <v>2017</v>
      </c>
    </row>
    <row r="83" spans="1:17" ht="15">
      <c r="A83" s="4" t="s">
        <v>134</v>
      </c>
      <c r="B83" s="4">
        <v>1</v>
      </c>
      <c r="C83" s="4">
        <v>2</v>
      </c>
      <c r="D83" s="4">
        <v>1</v>
      </c>
      <c r="E83" s="4">
        <v>0</v>
      </c>
      <c r="F83" s="4">
        <v>1</v>
      </c>
      <c r="G83" s="4"/>
      <c r="H83" s="5" t="s">
        <v>200</v>
      </c>
      <c r="I83" s="3" t="s">
        <v>68</v>
      </c>
      <c r="J83" s="85"/>
      <c r="K83" s="53">
        <v>1</v>
      </c>
      <c r="L83" s="53"/>
      <c r="M83" s="53"/>
      <c r="N83" s="53"/>
      <c r="O83" s="53"/>
      <c r="P83" s="85">
        <f>SUM(J83:O83)</f>
        <v>1</v>
      </c>
      <c r="Q83" s="9">
        <v>2017</v>
      </c>
    </row>
    <row r="84" spans="1:17" ht="30">
      <c r="A84" s="4" t="s">
        <v>134</v>
      </c>
      <c r="B84" s="4">
        <v>1</v>
      </c>
      <c r="C84" s="4">
        <v>2</v>
      </c>
      <c r="D84" s="4">
        <v>1</v>
      </c>
      <c r="E84" s="4">
        <v>0</v>
      </c>
      <c r="F84" s="4">
        <v>1</v>
      </c>
      <c r="G84" s="4"/>
      <c r="H84" s="5" t="s">
        <v>201</v>
      </c>
      <c r="I84" s="3" t="s">
        <v>367</v>
      </c>
      <c r="J84" s="132"/>
      <c r="K84" s="65"/>
      <c r="L84" s="6"/>
      <c r="M84" s="6">
        <v>978.2</v>
      </c>
      <c r="N84" s="6"/>
      <c r="O84" s="6"/>
      <c r="P84" s="7">
        <f t="shared" si="27"/>
        <v>978.2</v>
      </c>
      <c r="Q84" s="9">
        <v>2019</v>
      </c>
    </row>
    <row r="85" spans="1:18" ht="30">
      <c r="A85" s="4" t="s">
        <v>134</v>
      </c>
      <c r="B85" s="4">
        <v>1</v>
      </c>
      <c r="C85" s="4">
        <v>2</v>
      </c>
      <c r="D85" s="4">
        <v>1</v>
      </c>
      <c r="E85" s="4">
        <v>0</v>
      </c>
      <c r="F85" s="4">
        <v>2</v>
      </c>
      <c r="G85" s="4">
        <v>3</v>
      </c>
      <c r="H85" s="5" t="s">
        <v>206</v>
      </c>
      <c r="I85" s="3" t="s">
        <v>67</v>
      </c>
      <c r="J85" s="7">
        <f>100+200</f>
        <v>300</v>
      </c>
      <c r="K85" s="6">
        <f>60237-22437-1000-1236.9</f>
        <v>35563.1</v>
      </c>
      <c r="L85" s="6">
        <v>49999</v>
      </c>
      <c r="M85" s="6">
        <v>0</v>
      </c>
      <c r="N85" s="6">
        <v>0</v>
      </c>
      <c r="O85" s="6"/>
      <c r="P85" s="7">
        <f t="shared" si="27"/>
        <v>85862.1</v>
      </c>
      <c r="Q85" s="9">
        <v>2018</v>
      </c>
      <c r="R85" s="16" t="s">
        <v>384</v>
      </c>
    </row>
    <row r="86" spans="1:17" ht="15">
      <c r="A86" s="4" t="s">
        <v>134</v>
      </c>
      <c r="B86" s="4">
        <v>1</v>
      </c>
      <c r="C86" s="4">
        <v>2</v>
      </c>
      <c r="D86" s="4">
        <v>1</v>
      </c>
      <c r="E86" s="4">
        <v>0</v>
      </c>
      <c r="F86" s="4">
        <v>2</v>
      </c>
      <c r="G86" s="4"/>
      <c r="H86" s="5" t="s">
        <v>239</v>
      </c>
      <c r="I86" s="3" t="s">
        <v>68</v>
      </c>
      <c r="J86" s="85">
        <v>1</v>
      </c>
      <c r="K86" s="133"/>
      <c r="L86" s="133"/>
      <c r="M86" s="53"/>
      <c r="N86" s="53"/>
      <c r="O86" s="53"/>
      <c r="P86" s="85">
        <f>SUM(J86:O86)</f>
        <v>1</v>
      </c>
      <c r="Q86" s="9">
        <v>2016</v>
      </c>
    </row>
    <row r="87" spans="1:17" ht="30">
      <c r="A87" s="4" t="s">
        <v>134</v>
      </c>
      <c r="B87" s="4">
        <v>1</v>
      </c>
      <c r="C87" s="4">
        <v>2</v>
      </c>
      <c r="D87" s="4">
        <v>1</v>
      </c>
      <c r="E87" s="4">
        <v>0</v>
      </c>
      <c r="F87" s="4">
        <v>2</v>
      </c>
      <c r="G87" s="4"/>
      <c r="H87" s="5" t="s">
        <v>202</v>
      </c>
      <c r="I87" s="3" t="s">
        <v>350</v>
      </c>
      <c r="J87" s="134"/>
      <c r="K87" s="36">
        <v>318.94</v>
      </c>
      <c r="L87" s="8"/>
      <c r="M87" s="135"/>
      <c r="N87" s="6"/>
      <c r="O87" s="6"/>
      <c r="P87" s="89">
        <f t="shared" si="27"/>
        <v>318.94</v>
      </c>
      <c r="Q87" s="9">
        <v>2017</v>
      </c>
    </row>
    <row r="88" spans="1:17" ht="30">
      <c r="A88" s="4" t="s">
        <v>134</v>
      </c>
      <c r="B88" s="4">
        <v>1</v>
      </c>
      <c r="C88" s="4">
        <v>2</v>
      </c>
      <c r="D88" s="4">
        <v>1</v>
      </c>
      <c r="E88" s="4">
        <v>0</v>
      </c>
      <c r="F88" s="4">
        <v>2</v>
      </c>
      <c r="G88" s="4"/>
      <c r="H88" s="5" t="s">
        <v>343</v>
      </c>
      <c r="I88" s="3" t="s">
        <v>350</v>
      </c>
      <c r="J88" s="136"/>
      <c r="K88" s="137"/>
      <c r="L88" s="138">
        <v>472.86</v>
      </c>
      <c r="M88" s="139"/>
      <c r="N88" s="6"/>
      <c r="O88" s="116"/>
      <c r="P88" s="89">
        <f t="shared" si="27"/>
        <v>472.86</v>
      </c>
      <c r="Q88" s="9">
        <v>2018</v>
      </c>
    </row>
    <row r="89" spans="1:18" ht="30">
      <c r="A89" s="4" t="s">
        <v>134</v>
      </c>
      <c r="B89" s="4">
        <v>1</v>
      </c>
      <c r="C89" s="4">
        <v>2</v>
      </c>
      <c r="D89" s="4">
        <v>1</v>
      </c>
      <c r="E89" s="4">
        <v>0</v>
      </c>
      <c r="F89" s="4">
        <v>3</v>
      </c>
      <c r="G89" s="4">
        <v>3</v>
      </c>
      <c r="H89" s="5" t="s">
        <v>323</v>
      </c>
      <c r="I89" s="3" t="s">
        <v>67</v>
      </c>
      <c r="J89" s="140">
        <f>1268.2+57055.3+5.4-434.4+0.1</f>
        <v>57894.6</v>
      </c>
      <c r="K89" s="116">
        <v>0</v>
      </c>
      <c r="L89" s="138">
        <v>0</v>
      </c>
      <c r="M89" s="116">
        <v>0</v>
      </c>
      <c r="N89" s="6">
        <v>0</v>
      </c>
      <c r="O89" s="6">
        <v>95609.8</v>
      </c>
      <c r="P89" s="7">
        <f t="shared" si="27"/>
        <v>153504.4</v>
      </c>
      <c r="Q89" s="9">
        <v>2021</v>
      </c>
      <c r="R89" s="16" t="s">
        <v>384</v>
      </c>
    </row>
    <row r="90" spans="1:17" ht="30">
      <c r="A90" s="4" t="s">
        <v>134</v>
      </c>
      <c r="B90" s="4">
        <v>1</v>
      </c>
      <c r="C90" s="4">
        <v>2</v>
      </c>
      <c r="D90" s="4">
        <v>1</v>
      </c>
      <c r="E90" s="4">
        <v>0</v>
      </c>
      <c r="F90" s="4">
        <v>3</v>
      </c>
      <c r="G90" s="4"/>
      <c r="H90" s="5" t="s">
        <v>378</v>
      </c>
      <c r="I90" s="3" t="s">
        <v>367</v>
      </c>
      <c r="J90" s="132">
        <v>651.37</v>
      </c>
      <c r="K90" s="6"/>
      <c r="L90" s="8"/>
      <c r="M90" s="8"/>
      <c r="N90" s="8"/>
      <c r="O90" s="6"/>
      <c r="P90" s="89">
        <f t="shared" si="27"/>
        <v>651.37</v>
      </c>
      <c r="Q90" s="9">
        <v>2016</v>
      </c>
    </row>
    <row r="91" spans="1:17" ht="30">
      <c r="A91" s="4" t="s">
        <v>134</v>
      </c>
      <c r="B91" s="4">
        <v>1</v>
      </c>
      <c r="C91" s="4">
        <v>2</v>
      </c>
      <c r="D91" s="4">
        <v>1</v>
      </c>
      <c r="E91" s="4">
        <v>0</v>
      </c>
      <c r="F91" s="4">
        <v>3</v>
      </c>
      <c r="G91" s="4"/>
      <c r="H91" s="5" t="s">
        <v>218</v>
      </c>
      <c r="I91" s="3" t="s">
        <v>367</v>
      </c>
      <c r="J91" s="132"/>
      <c r="K91" s="6"/>
      <c r="L91" s="8"/>
      <c r="M91" s="8"/>
      <c r="N91" s="8"/>
      <c r="O91" s="8">
        <v>651.37</v>
      </c>
      <c r="P91" s="89">
        <f t="shared" si="27"/>
        <v>651.37</v>
      </c>
      <c r="Q91" s="9">
        <v>2021</v>
      </c>
    </row>
    <row r="92" spans="1:18" ht="45">
      <c r="A92" s="4" t="s">
        <v>134</v>
      </c>
      <c r="B92" s="4">
        <v>1</v>
      </c>
      <c r="C92" s="4">
        <v>2</v>
      </c>
      <c r="D92" s="4">
        <v>1</v>
      </c>
      <c r="E92" s="4">
        <v>0</v>
      </c>
      <c r="F92" s="4">
        <v>4</v>
      </c>
      <c r="G92" s="4">
        <v>3</v>
      </c>
      <c r="H92" s="5" t="s">
        <v>358</v>
      </c>
      <c r="I92" s="3" t="s">
        <v>67</v>
      </c>
      <c r="J92" s="7">
        <v>0</v>
      </c>
      <c r="K92" s="6">
        <f>0+1000</f>
        <v>1000</v>
      </c>
      <c r="L92" s="6">
        <v>54389.8</v>
      </c>
      <c r="M92" s="6">
        <v>82923.4</v>
      </c>
      <c r="N92" s="6">
        <v>59700</v>
      </c>
      <c r="O92" s="6">
        <v>0</v>
      </c>
      <c r="P92" s="7">
        <f t="shared" si="27"/>
        <v>198013.2</v>
      </c>
      <c r="Q92" s="9">
        <v>2020</v>
      </c>
      <c r="R92" s="16" t="s">
        <v>384</v>
      </c>
    </row>
    <row r="93" spans="1:17" ht="30">
      <c r="A93" s="4" t="s">
        <v>134</v>
      </c>
      <c r="B93" s="4">
        <v>1</v>
      </c>
      <c r="C93" s="4">
        <v>2</v>
      </c>
      <c r="D93" s="4">
        <v>1</v>
      </c>
      <c r="E93" s="4">
        <v>0</v>
      </c>
      <c r="F93" s="4">
        <v>4</v>
      </c>
      <c r="G93" s="4"/>
      <c r="H93" s="5" t="s">
        <v>351</v>
      </c>
      <c r="I93" s="3" t="s">
        <v>367</v>
      </c>
      <c r="J93" s="141"/>
      <c r="K93" s="8"/>
      <c r="L93" s="6">
        <v>314</v>
      </c>
      <c r="M93" s="6">
        <v>940</v>
      </c>
      <c r="N93" s="6"/>
      <c r="O93" s="6"/>
      <c r="P93" s="8">
        <f t="shared" si="27"/>
        <v>1254</v>
      </c>
      <c r="Q93" s="9">
        <v>2019</v>
      </c>
    </row>
    <row r="94" spans="1:17" ht="15">
      <c r="A94" s="4" t="s">
        <v>134</v>
      </c>
      <c r="B94" s="4">
        <v>1</v>
      </c>
      <c r="C94" s="4">
        <v>2</v>
      </c>
      <c r="D94" s="4">
        <v>1</v>
      </c>
      <c r="E94" s="4">
        <v>0</v>
      </c>
      <c r="F94" s="4">
        <v>4</v>
      </c>
      <c r="G94" s="4"/>
      <c r="H94" s="5" t="s">
        <v>101</v>
      </c>
      <c r="I94" s="3" t="s">
        <v>208</v>
      </c>
      <c r="J94" s="141"/>
      <c r="K94" s="8"/>
      <c r="L94" s="6"/>
      <c r="M94" s="6"/>
      <c r="N94" s="6">
        <f>947.1+281.49</f>
        <v>1228.5900000000001</v>
      </c>
      <c r="O94" s="6"/>
      <c r="P94" s="6">
        <f>SUM(J94:O94)</f>
        <v>1228.5900000000001</v>
      </c>
      <c r="Q94" s="9">
        <v>2020</v>
      </c>
    </row>
    <row r="95" spans="1:17" ht="30">
      <c r="A95" s="4" t="s">
        <v>134</v>
      </c>
      <c r="B95" s="4">
        <v>1</v>
      </c>
      <c r="C95" s="4">
        <v>2</v>
      </c>
      <c r="D95" s="4">
        <v>1</v>
      </c>
      <c r="E95" s="4">
        <v>0</v>
      </c>
      <c r="F95" s="4">
        <v>4</v>
      </c>
      <c r="G95" s="4"/>
      <c r="H95" s="5" t="s">
        <v>333</v>
      </c>
      <c r="I95" s="3" t="s">
        <v>68</v>
      </c>
      <c r="J95" s="142"/>
      <c r="K95" s="53">
        <v>1</v>
      </c>
      <c r="L95" s="53"/>
      <c r="M95" s="53"/>
      <c r="N95" s="53"/>
      <c r="O95" s="53"/>
      <c r="P95" s="53">
        <f>SUM(J95:O95)</f>
        <v>1</v>
      </c>
      <c r="Q95" s="9">
        <v>2017</v>
      </c>
    </row>
    <row r="96" spans="1:18" ht="30">
      <c r="A96" s="4" t="s">
        <v>134</v>
      </c>
      <c r="B96" s="4">
        <v>1</v>
      </c>
      <c r="C96" s="4">
        <v>2</v>
      </c>
      <c r="D96" s="4">
        <v>1</v>
      </c>
      <c r="E96" s="4">
        <v>0</v>
      </c>
      <c r="F96" s="4">
        <v>5</v>
      </c>
      <c r="G96" s="4">
        <v>3</v>
      </c>
      <c r="H96" s="5" t="s">
        <v>363</v>
      </c>
      <c r="I96" s="3" t="s">
        <v>67</v>
      </c>
      <c r="J96" s="7">
        <v>5.2</v>
      </c>
      <c r="K96" s="7">
        <f>100+679.8+5.1</f>
        <v>784.9</v>
      </c>
      <c r="L96" s="6">
        <v>0</v>
      </c>
      <c r="M96" s="6">
        <v>0</v>
      </c>
      <c r="N96" s="6">
        <v>0</v>
      </c>
      <c r="O96" s="6">
        <v>0</v>
      </c>
      <c r="P96" s="7">
        <f t="shared" si="27"/>
        <v>790.1</v>
      </c>
      <c r="Q96" s="9">
        <v>2017</v>
      </c>
      <c r="R96" s="16" t="s">
        <v>384</v>
      </c>
    </row>
    <row r="97" spans="1:17" ht="30">
      <c r="A97" s="4" t="s">
        <v>134</v>
      </c>
      <c r="B97" s="4">
        <v>1</v>
      </c>
      <c r="C97" s="4">
        <v>2</v>
      </c>
      <c r="D97" s="4">
        <v>1</v>
      </c>
      <c r="E97" s="4">
        <v>0</v>
      </c>
      <c r="F97" s="4">
        <v>5</v>
      </c>
      <c r="G97" s="4"/>
      <c r="H97" s="5" t="s">
        <v>103</v>
      </c>
      <c r="I97" s="3" t="s">
        <v>68</v>
      </c>
      <c r="J97" s="53">
        <v>1</v>
      </c>
      <c r="K97" s="53"/>
      <c r="L97" s="53"/>
      <c r="M97" s="53"/>
      <c r="N97" s="53"/>
      <c r="O97" s="53"/>
      <c r="P97" s="53">
        <f>SUM(J97:O97)</f>
        <v>1</v>
      </c>
      <c r="Q97" s="9">
        <v>2016</v>
      </c>
    </row>
    <row r="98" spans="1:17" ht="15">
      <c r="A98" s="4" t="s">
        <v>134</v>
      </c>
      <c r="B98" s="4">
        <v>1</v>
      </c>
      <c r="C98" s="4">
        <v>2</v>
      </c>
      <c r="D98" s="4">
        <v>1</v>
      </c>
      <c r="E98" s="4">
        <v>0</v>
      </c>
      <c r="F98" s="4">
        <v>5</v>
      </c>
      <c r="G98" s="4"/>
      <c r="H98" s="5" t="s">
        <v>101</v>
      </c>
      <c r="I98" s="3" t="s">
        <v>208</v>
      </c>
      <c r="J98" s="8"/>
      <c r="K98" s="8">
        <v>318.62</v>
      </c>
      <c r="L98" s="143"/>
      <c r="M98" s="143"/>
      <c r="N98" s="6"/>
      <c r="O98" s="6"/>
      <c r="P98" s="8">
        <f>SUM(J98:O98)</f>
        <v>318.62</v>
      </c>
      <c r="Q98" s="9">
        <v>2017</v>
      </c>
    </row>
    <row r="99" spans="1:17" ht="30">
      <c r="A99" s="4" t="s">
        <v>134</v>
      </c>
      <c r="B99" s="4">
        <v>1</v>
      </c>
      <c r="C99" s="4">
        <v>2</v>
      </c>
      <c r="D99" s="4">
        <v>1</v>
      </c>
      <c r="E99" s="4">
        <v>0</v>
      </c>
      <c r="F99" s="4">
        <v>5</v>
      </c>
      <c r="G99" s="4"/>
      <c r="H99" s="5" t="s">
        <v>207</v>
      </c>
      <c r="I99" s="3" t="s">
        <v>68</v>
      </c>
      <c r="J99" s="53"/>
      <c r="K99" s="53">
        <v>1</v>
      </c>
      <c r="L99" s="133"/>
      <c r="M99" s="133"/>
      <c r="N99" s="53"/>
      <c r="O99" s="53"/>
      <c r="P99" s="53">
        <f>SUM(J99:O99)</f>
        <v>1</v>
      </c>
      <c r="Q99" s="9">
        <v>2017</v>
      </c>
    </row>
    <row r="100" spans="1:18" ht="45">
      <c r="A100" s="4" t="s">
        <v>134</v>
      </c>
      <c r="B100" s="4">
        <v>1</v>
      </c>
      <c r="C100" s="4">
        <v>2</v>
      </c>
      <c r="D100" s="4">
        <v>1</v>
      </c>
      <c r="E100" s="4">
        <v>0</v>
      </c>
      <c r="F100" s="4">
        <v>6</v>
      </c>
      <c r="G100" s="4">
        <v>3</v>
      </c>
      <c r="H100" s="5" t="s">
        <v>365</v>
      </c>
      <c r="I100" s="3" t="s">
        <v>67</v>
      </c>
      <c r="J100" s="141">
        <v>0</v>
      </c>
      <c r="K100" s="143">
        <v>0</v>
      </c>
      <c r="L100" s="143">
        <v>5000</v>
      </c>
      <c r="M100" s="143">
        <v>22077.8</v>
      </c>
      <c r="N100" s="6">
        <v>0</v>
      </c>
      <c r="O100" s="6">
        <v>0</v>
      </c>
      <c r="P100" s="7">
        <f t="shared" si="27"/>
        <v>27077.8</v>
      </c>
      <c r="Q100" s="9">
        <v>2019</v>
      </c>
      <c r="R100" s="16" t="s">
        <v>384</v>
      </c>
    </row>
    <row r="101" spans="1:17" ht="30">
      <c r="A101" s="4" t="s">
        <v>134</v>
      </c>
      <c r="B101" s="4">
        <v>1</v>
      </c>
      <c r="C101" s="4">
        <v>2</v>
      </c>
      <c r="D101" s="4">
        <v>1</v>
      </c>
      <c r="E101" s="4">
        <v>0</v>
      </c>
      <c r="F101" s="4">
        <v>6</v>
      </c>
      <c r="G101" s="4"/>
      <c r="H101" s="5" t="s">
        <v>209</v>
      </c>
      <c r="I101" s="3" t="s">
        <v>30</v>
      </c>
      <c r="J101" s="134"/>
      <c r="K101" s="13"/>
      <c r="L101" s="13">
        <f>14130*L100/50103.1</f>
        <v>1410.0923894928658</v>
      </c>
      <c r="M101" s="13">
        <f>14130*M100/50103.1</f>
        <v>6226.3475513491185</v>
      </c>
      <c r="N101" s="135"/>
      <c r="O101" s="6"/>
      <c r="P101" s="7">
        <f>SUM(J101:O101)</f>
        <v>7636.439940841984</v>
      </c>
      <c r="Q101" s="9">
        <v>2019</v>
      </c>
    </row>
    <row r="102" spans="1:17" ht="30">
      <c r="A102" s="4" t="s">
        <v>134</v>
      </c>
      <c r="B102" s="4">
        <v>1</v>
      </c>
      <c r="C102" s="4">
        <v>2</v>
      </c>
      <c r="D102" s="4">
        <v>1</v>
      </c>
      <c r="E102" s="4">
        <v>0</v>
      </c>
      <c r="F102" s="4">
        <v>6</v>
      </c>
      <c r="G102" s="4"/>
      <c r="H102" s="5" t="s">
        <v>281</v>
      </c>
      <c r="I102" s="3" t="s">
        <v>367</v>
      </c>
      <c r="J102" s="134"/>
      <c r="K102" s="144"/>
      <c r="L102" s="145"/>
      <c r="M102" s="146">
        <v>738</v>
      </c>
      <c r="N102" s="135"/>
      <c r="O102" s="6"/>
      <c r="P102" s="7">
        <f>SUM(J102:O102)</f>
        <v>738</v>
      </c>
      <c r="Q102" s="9">
        <v>2019</v>
      </c>
    </row>
    <row r="103" spans="1:18" ht="30">
      <c r="A103" s="4" t="s">
        <v>134</v>
      </c>
      <c r="B103" s="4">
        <v>1</v>
      </c>
      <c r="C103" s="4">
        <v>2</v>
      </c>
      <c r="D103" s="4">
        <v>1</v>
      </c>
      <c r="E103" s="4">
        <v>0</v>
      </c>
      <c r="F103" s="4">
        <v>7</v>
      </c>
      <c r="G103" s="4">
        <v>3</v>
      </c>
      <c r="H103" s="5" t="s">
        <v>330</v>
      </c>
      <c r="I103" s="3" t="s">
        <v>67</v>
      </c>
      <c r="J103" s="147">
        <v>0</v>
      </c>
      <c r="K103" s="148">
        <v>0</v>
      </c>
      <c r="L103" s="148">
        <v>6900</v>
      </c>
      <c r="M103" s="148">
        <f>8500-1600</f>
        <v>6900</v>
      </c>
      <c r="N103" s="147">
        <v>15000</v>
      </c>
      <c r="O103" s="147">
        <v>20000</v>
      </c>
      <c r="P103" s="7">
        <f t="shared" si="27"/>
        <v>48800</v>
      </c>
      <c r="Q103" s="9">
        <v>2021</v>
      </c>
      <c r="R103" s="16" t="s">
        <v>384</v>
      </c>
    </row>
    <row r="104" spans="1:17" ht="15">
      <c r="A104" s="4" t="s">
        <v>134</v>
      </c>
      <c r="B104" s="4">
        <v>1</v>
      </c>
      <c r="C104" s="4">
        <v>2</v>
      </c>
      <c r="D104" s="4">
        <v>1</v>
      </c>
      <c r="E104" s="4">
        <v>0</v>
      </c>
      <c r="F104" s="4">
        <v>7</v>
      </c>
      <c r="G104" s="4"/>
      <c r="H104" s="5" t="s">
        <v>193</v>
      </c>
      <c r="I104" s="20" t="s">
        <v>66</v>
      </c>
      <c r="J104" s="26"/>
      <c r="K104" s="26"/>
      <c r="L104" s="7">
        <v>4552.1</v>
      </c>
      <c r="M104" s="7"/>
      <c r="N104" s="7"/>
      <c r="O104" s="7"/>
      <c r="P104" s="89">
        <f t="shared" si="27"/>
        <v>4552.1</v>
      </c>
      <c r="Q104" s="9">
        <v>2018</v>
      </c>
    </row>
    <row r="105" spans="1:17" ht="30">
      <c r="A105" s="4" t="s">
        <v>134</v>
      </c>
      <c r="B105" s="4">
        <v>1</v>
      </c>
      <c r="C105" s="4">
        <v>2</v>
      </c>
      <c r="D105" s="4">
        <v>1</v>
      </c>
      <c r="E105" s="4">
        <v>0</v>
      </c>
      <c r="F105" s="4">
        <v>7</v>
      </c>
      <c r="G105" s="4"/>
      <c r="H105" s="5" t="s">
        <v>364</v>
      </c>
      <c r="I105" s="3" t="s">
        <v>367</v>
      </c>
      <c r="J105" s="26"/>
      <c r="K105" s="26"/>
      <c r="L105" s="7"/>
      <c r="M105" s="7">
        <f>(1634.55*M103)/159000</f>
        <v>70.93330188679245</v>
      </c>
      <c r="N105" s="7">
        <f>(1634.55*N103)/159000</f>
        <v>154.20283018867926</v>
      </c>
      <c r="O105" s="7">
        <f>(1634.55*O103)/159000</f>
        <v>205.60377358490567</v>
      </c>
      <c r="P105" s="89">
        <f t="shared" si="27"/>
        <v>430.7399056603774</v>
      </c>
      <c r="Q105" s="9">
        <v>2021</v>
      </c>
    </row>
    <row r="106" spans="1:18" ht="30">
      <c r="A106" s="4" t="s">
        <v>134</v>
      </c>
      <c r="B106" s="4">
        <v>1</v>
      </c>
      <c r="C106" s="4">
        <v>2</v>
      </c>
      <c r="D106" s="4">
        <v>1</v>
      </c>
      <c r="E106" s="4">
        <v>0</v>
      </c>
      <c r="F106" s="4">
        <v>8</v>
      </c>
      <c r="G106" s="4">
        <v>3</v>
      </c>
      <c r="H106" s="5" t="s">
        <v>366</v>
      </c>
      <c r="I106" s="3" t="s">
        <v>67</v>
      </c>
      <c r="J106" s="6">
        <f>271.2+24847.8-8350.7</f>
        <v>16768.3</v>
      </c>
      <c r="K106" s="6">
        <f>8350.7+305.3</f>
        <v>8656</v>
      </c>
      <c r="L106" s="6">
        <v>0</v>
      </c>
      <c r="M106" s="6">
        <v>0</v>
      </c>
      <c r="N106" s="6">
        <v>0</v>
      </c>
      <c r="O106" s="6">
        <v>0</v>
      </c>
      <c r="P106" s="7">
        <f t="shared" si="27"/>
        <v>25424.3</v>
      </c>
      <c r="Q106" s="9">
        <v>2017</v>
      </c>
      <c r="R106" s="16" t="s">
        <v>384</v>
      </c>
    </row>
    <row r="107" spans="1:17" ht="15">
      <c r="A107" s="4" t="s">
        <v>134</v>
      </c>
      <c r="B107" s="4">
        <v>1</v>
      </c>
      <c r="C107" s="4">
        <v>2</v>
      </c>
      <c r="D107" s="4">
        <v>1</v>
      </c>
      <c r="E107" s="4">
        <v>0</v>
      </c>
      <c r="F107" s="4">
        <v>8</v>
      </c>
      <c r="G107" s="4"/>
      <c r="H107" s="5" t="s">
        <v>393</v>
      </c>
      <c r="I107" s="20" t="s">
        <v>66</v>
      </c>
      <c r="J107" s="7">
        <v>1520</v>
      </c>
      <c r="K107" s="7"/>
      <c r="L107" s="7"/>
      <c r="M107" s="7"/>
      <c r="N107" s="7"/>
      <c r="O107" s="7"/>
      <c r="P107" s="7">
        <f t="shared" si="27"/>
        <v>1520</v>
      </c>
      <c r="Q107" s="9">
        <v>2016</v>
      </c>
    </row>
    <row r="108" spans="1:17" ht="30">
      <c r="A108" s="4" t="s">
        <v>134</v>
      </c>
      <c r="B108" s="4">
        <v>1</v>
      </c>
      <c r="C108" s="4">
        <v>2</v>
      </c>
      <c r="D108" s="4">
        <v>1</v>
      </c>
      <c r="E108" s="4">
        <v>0</v>
      </c>
      <c r="F108" s="4">
        <v>8</v>
      </c>
      <c r="G108" s="4"/>
      <c r="H108" s="5" t="s">
        <v>371</v>
      </c>
      <c r="I108" s="3" t="s">
        <v>68</v>
      </c>
      <c r="J108" s="53">
        <v>1</v>
      </c>
      <c r="K108" s="85"/>
      <c r="L108" s="85"/>
      <c r="M108" s="85"/>
      <c r="N108" s="85"/>
      <c r="O108" s="85"/>
      <c r="P108" s="85">
        <f t="shared" si="27"/>
        <v>1</v>
      </c>
      <c r="Q108" s="9">
        <v>2016</v>
      </c>
    </row>
    <row r="109" spans="1:17" ht="15">
      <c r="A109" s="4" t="s">
        <v>134</v>
      </c>
      <c r="B109" s="4">
        <v>1</v>
      </c>
      <c r="C109" s="4">
        <v>2</v>
      </c>
      <c r="D109" s="4">
        <v>1</v>
      </c>
      <c r="E109" s="4">
        <v>0</v>
      </c>
      <c r="F109" s="4">
        <v>8</v>
      </c>
      <c r="G109" s="4"/>
      <c r="H109" s="5" t="s">
        <v>143</v>
      </c>
      <c r="I109" s="3" t="s">
        <v>350</v>
      </c>
      <c r="J109" s="6"/>
      <c r="K109" s="7">
        <v>270</v>
      </c>
      <c r="L109" s="7"/>
      <c r="M109" s="7"/>
      <c r="N109" s="7"/>
      <c r="O109" s="7"/>
      <c r="P109" s="7">
        <f>SUM(J109:O109)</f>
        <v>270</v>
      </c>
      <c r="Q109" s="9">
        <v>2017</v>
      </c>
    </row>
    <row r="110" spans="1:18" ht="22.5">
      <c r="A110" s="4" t="s">
        <v>134</v>
      </c>
      <c r="B110" s="4">
        <v>1</v>
      </c>
      <c r="C110" s="4">
        <v>2</v>
      </c>
      <c r="D110" s="4">
        <v>1</v>
      </c>
      <c r="E110" s="4">
        <v>0</v>
      </c>
      <c r="F110" s="4">
        <v>9</v>
      </c>
      <c r="G110" s="4">
        <v>3</v>
      </c>
      <c r="H110" s="5" t="s">
        <v>332</v>
      </c>
      <c r="I110" s="3" t="s">
        <v>67</v>
      </c>
      <c r="J110" s="6">
        <f>1993.1+7.4+0.1</f>
        <v>2000.6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7">
        <f t="shared" si="27"/>
        <v>2000.6</v>
      </c>
      <c r="Q110" s="9">
        <v>2016</v>
      </c>
      <c r="R110" s="16" t="s">
        <v>384</v>
      </c>
    </row>
    <row r="111" spans="1:17" ht="15">
      <c r="A111" s="4" t="s">
        <v>134</v>
      </c>
      <c r="B111" s="4">
        <v>1</v>
      </c>
      <c r="C111" s="4">
        <v>2</v>
      </c>
      <c r="D111" s="4">
        <v>1</v>
      </c>
      <c r="E111" s="4">
        <v>0</v>
      </c>
      <c r="F111" s="4">
        <v>9</v>
      </c>
      <c r="G111" s="4"/>
      <c r="H111" s="5" t="s">
        <v>50</v>
      </c>
      <c r="I111" s="3" t="s">
        <v>367</v>
      </c>
      <c r="J111" s="26">
        <v>840</v>
      </c>
      <c r="K111" s="26"/>
      <c r="L111" s="14"/>
      <c r="M111" s="26"/>
      <c r="N111" s="26"/>
      <c r="O111" s="26"/>
      <c r="P111" s="7">
        <f>SUM(J111:O111)</f>
        <v>840</v>
      </c>
      <c r="Q111" s="9">
        <v>2016</v>
      </c>
    </row>
    <row r="112" spans="1:18" ht="30">
      <c r="A112" s="4" t="s">
        <v>134</v>
      </c>
      <c r="B112" s="4">
        <v>1</v>
      </c>
      <c r="C112" s="4">
        <v>2</v>
      </c>
      <c r="D112" s="4">
        <v>1</v>
      </c>
      <c r="E112" s="4">
        <v>1</v>
      </c>
      <c r="F112" s="4">
        <v>0</v>
      </c>
      <c r="G112" s="4">
        <v>3</v>
      </c>
      <c r="H112" s="5" t="s">
        <v>345</v>
      </c>
      <c r="I112" s="3" t="s">
        <v>67</v>
      </c>
      <c r="J112" s="6">
        <v>550</v>
      </c>
      <c r="K112" s="6">
        <v>2250</v>
      </c>
      <c r="L112" s="6">
        <v>0</v>
      </c>
      <c r="M112" s="6">
        <v>0</v>
      </c>
      <c r="N112" s="6">
        <v>20000</v>
      </c>
      <c r="O112" s="6">
        <v>0</v>
      </c>
      <c r="P112" s="7">
        <f t="shared" si="27"/>
        <v>22800</v>
      </c>
      <c r="Q112" s="9">
        <v>2020</v>
      </c>
      <c r="R112" s="16" t="s">
        <v>384</v>
      </c>
    </row>
    <row r="113" spans="1:17" ht="15">
      <c r="A113" s="4" t="s">
        <v>134</v>
      </c>
      <c r="B113" s="4">
        <v>1</v>
      </c>
      <c r="C113" s="4">
        <v>2</v>
      </c>
      <c r="D113" s="4">
        <v>1</v>
      </c>
      <c r="E113" s="4">
        <v>1</v>
      </c>
      <c r="F113" s="4">
        <v>0</v>
      </c>
      <c r="G113" s="4"/>
      <c r="H113" s="5" t="s">
        <v>265</v>
      </c>
      <c r="I113" s="3" t="s">
        <v>68</v>
      </c>
      <c r="J113" s="53">
        <v>1</v>
      </c>
      <c r="K113" s="53">
        <v>1</v>
      </c>
      <c r="L113" s="53"/>
      <c r="M113" s="53"/>
      <c r="N113" s="53"/>
      <c r="O113" s="53"/>
      <c r="P113" s="85">
        <f t="shared" si="27"/>
        <v>2</v>
      </c>
      <c r="Q113" s="9">
        <v>2017</v>
      </c>
    </row>
    <row r="114" spans="1:17" ht="30">
      <c r="A114" s="4" t="s">
        <v>134</v>
      </c>
      <c r="B114" s="4">
        <v>1</v>
      </c>
      <c r="C114" s="4">
        <v>2</v>
      </c>
      <c r="D114" s="4">
        <v>1</v>
      </c>
      <c r="E114" s="4">
        <v>1</v>
      </c>
      <c r="F114" s="4">
        <v>0</v>
      </c>
      <c r="G114" s="4"/>
      <c r="H114" s="5" t="s">
        <v>117</v>
      </c>
      <c r="I114" s="3" t="s">
        <v>29</v>
      </c>
      <c r="J114" s="53"/>
      <c r="K114" s="53"/>
      <c r="L114" s="53"/>
      <c r="M114" s="53"/>
      <c r="N114" s="6">
        <v>0.7</v>
      </c>
      <c r="O114" s="53"/>
      <c r="P114" s="7">
        <f t="shared" si="27"/>
        <v>0.7</v>
      </c>
      <c r="Q114" s="9">
        <v>2020</v>
      </c>
    </row>
    <row r="115" spans="1:18" ht="45">
      <c r="A115" s="4" t="s">
        <v>134</v>
      </c>
      <c r="B115" s="4">
        <v>1</v>
      </c>
      <c r="C115" s="4">
        <v>2</v>
      </c>
      <c r="D115" s="4">
        <v>1</v>
      </c>
      <c r="E115" s="4">
        <v>1</v>
      </c>
      <c r="F115" s="4">
        <v>1</v>
      </c>
      <c r="G115" s="4"/>
      <c r="H115" s="5" t="s">
        <v>368</v>
      </c>
      <c r="I115" s="3" t="s">
        <v>67</v>
      </c>
      <c r="J115" s="13">
        <f aca="true" t="shared" si="28" ref="J115:P115">J117+J116</f>
        <v>9620.7</v>
      </c>
      <c r="K115" s="13">
        <f t="shared" si="28"/>
        <v>19487.100000000002</v>
      </c>
      <c r="L115" s="13">
        <f t="shared" si="28"/>
        <v>0</v>
      </c>
      <c r="M115" s="13">
        <f t="shared" si="28"/>
        <v>0</v>
      </c>
      <c r="N115" s="13">
        <f t="shared" si="28"/>
        <v>0</v>
      </c>
      <c r="O115" s="13">
        <f t="shared" si="28"/>
        <v>0</v>
      </c>
      <c r="P115" s="13">
        <f t="shared" si="28"/>
        <v>29107.800000000003</v>
      </c>
      <c r="Q115" s="9">
        <v>2017</v>
      </c>
      <c r="R115" s="16" t="s">
        <v>384</v>
      </c>
    </row>
    <row r="116" spans="1:17" ht="15">
      <c r="A116" s="4" t="s">
        <v>134</v>
      </c>
      <c r="B116" s="4">
        <v>1</v>
      </c>
      <c r="C116" s="4">
        <v>2</v>
      </c>
      <c r="D116" s="4">
        <v>1</v>
      </c>
      <c r="E116" s="4">
        <v>1</v>
      </c>
      <c r="F116" s="4">
        <v>1</v>
      </c>
      <c r="G116" s="4">
        <v>2</v>
      </c>
      <c r="H116" s="5" t="s">
        <v>32</v>
      </c>
      <c r="I116" s="3" t="s">
        <v>67</v>
      </c>
      <c r="J116" s="13">
        <f>2000+3000</f>
        <v>5000</v>
      </c>
      <c r="K116" s="13"/>
      <c r="L116" s="13"/>
      <c r="M116" s="13"/>
      <c r="N116" s="13"/>
      <c r="O116" s="13"/>
      <c r="P116" s="7">
        <f>SUM(J116:O116)</f>
        <v>5000</v>
      </c>
      <c r="Q116" s="9">
        <v>2016</v>
      </c>
    </row>
    <row r="117" spans="1:17" ht="15">
      <c r="A117" s="4" t="s">
        <v>134</v>
      </c>
      <c r="B117" s="4">
        <v>1</v>
      </c>
      <c r="C117" s="4">
        <v>2</v>
      </c>
      <c r="D117" s="4">
        <v>1</v>
      </c>
      <c r="E117" s="4">
        <v>1</v>
      </c>
      <c r="F117" s="4">
        <v>1</v>
      </c>
      <c r="G117" s="4">
        <v>3</v>
      </c>
      <c r="H117" s="5" t="s">
        <v>33</v>
      </c>
      <c r="I117" s="3" t="s">
        <v>67</v>
      </c>
      <c r="J117" s="13">
        <f>373.1+8479.9+118.4-20.9-4296-33.8</f>
        <v>4620.7</v>
      </c>
      <c r="K117" s="13">
        <f>22490.3-3745.1+549+192.9</f>
        <v>19487.100000000002</v>
      </c>
      <c r="L117" s="13"/>
      <c r="M117" s="13"/>
      <c r="N117" s="13"/>
      <c r="O117" s="13"/>
      <c r="P117" s="7">
        <f>SUM(J117:O117)</f>
        <v>24107.800000000003</v>
      </c>
      <c r="Q117" s="9">
        <v>2017</v>
      </c>
    </row>
    <row r="118" spans="1:17" ht="15">
      <c r="A118" s="4" t="s">
        <v>134</v>
      </c>
      <c r="B118" s="4">
        <v>1</v>
      </c>
      <c r="C118" s="4">
        <v>2</v>
      </c>
      <c r="D118" s="4">
        <v>1</v>
      </c>
      <c r="E118" s="4">
        <v>1</v>
      </c>
      <c r="F118" s="4">
        <v>1</v>
      </c>
      <c r="G118" s="4"/>
      <c r="H118" s="5" t="s">
        <v>265</v>
      </c>
      <c r="I118" s="3" t="s">
        <v>68</v>
      </c>
      <c r="J118" s="149">
        <v>1</v>
      </c>
      <c r="K118" s="149"/>
      <c r="L118" s="149"/>
      <c r="M118" s="149"/>
      <c r="N118" s="149"/>
      <c r="O118" s="149"/>
      <c r="P118" s="85">
        <f t="shared" si="27"/>
        <v>1</v>
      </c>
      <c r="Q118" s="9">
        <v>2016</v>
      </c>
    </row>
    <row r="119" spans="1:17" ht="15">
      <c r="A119" s="4" t="s">
        <v>134</v>
      </c>
      <c r="B119" s="4">
        <v>1</v>
      </c>
      <c r="C119" s="4">
        <v>2</v>
      </c>
      <c r="D119" s="4">
        <v>1</v>
      </c>
      <c r="E119" s="4">
        <v>1</v>
      </c>
      <c r="F119" s="4">
        <v>1</v>
      </c>
      <c r="G119" s="4"/>
      <c r="H119" s="5" t="s">
        <v>266</v>
      </c>
      <c r="I119" s="3" t="s">
        <v>367</v>
      </c>
      <c r="J119" s="15">
        <v>426.8</v>
      </c>
      <c r="K119" s="15"/>
      <c r="L119" s="7"/>
      <c r="M119" s="15"/>
      <c r="N119" s="15"/>
      <c r="O119" s="15"/>
      <c r="P119" s="7">
        <f t="shared" si="27"/>
        <v>426.8</v>
      </c>
      <c r="Q119" s="9">
        <v>2016</v>
      </c>
    </row>
    <row r="120" spans="1:17" ht="30">
      <c r="A120" s="4" t="s">
        <v>134</v>
      </c>
      <c r="B120" s="4">
        <v>1</v>
      </c>
      <c r="C120" s="4">
        <v>2</v>
      </c>
      <c r="D120" s="4">
        <v>1</v>
      </c>
      <c r="E120" s="4">
        <v>1</v>
      </c>
      <c r="F120" s="4">
        <v>1</v>
      </c>
      <c r="G120" s="4"/>
      <c r="H120" s="5" t="s">
        <v>82</v>
      </c>
      <c r="I120" s="20" t="s">
        <v>66</v>
      </c>
      <c r="J120" s="15"/>
      <c r="K120" s="15">
        <v>5739.81</v>
      </c>
      <c r="L120" s="7"/>
      <c r="M120" s="15"/>
      <c r="N120" s="15"/>
      <c r="O120" s="15"/>
      <c r="P120" s="7">
        <f t="shared" si="27"/>
        <v>5739.81</v>
      </c>
      <c r="Q120" s="9">
        <v>2017</v>
      </c>
    </row>
    <row r="121" spans="1:18" ht="30">
      <c r="A121" s="4" t="s">
        <v>134</v>
      </c>
      <c r="B121" s="4">
        <v>1</v>
      </c>
      <c r="C121" s="4">
        <v>2</v>
      </c>
      <c r="D121" s="4">
        <v>1</v>
      </c>
      <c r="E121" s="4">
        <v>1</v>
      </c>
      <c r="F121" s="4">
        <v>2</v>
      </c>
      <c r="G121" s="4">
        <v>3</v>
      </c>
      <c r="H121" s="5" t="s">
        <v>192</v>
      </c>
      <c r="I121" s="3" t="s">
        <v>67</v>
      </c>
      <c r="J121" s="13">
        <f>100-54.9</f>
        <v>45.1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7">
        <f t="shared" si="27"/>
        <v>45.1</v>
      </c>
      <c r="Q121" s="9">
        <v>2016</v>
      </c>
      <c r="R121" s="16" t="s">
        <v>384</v>
      </c>
    </row>
    <row r="122" spans="1:17" ht="15">
      <c r="A122" s="4" t="s">
        <v>134</v>
      </c>
      <c r="B122" s="4">
        <v>1</v>
      </c>
      <c r="C122" s="4">
        <v>2</v>
      </c>
      <c r="D122" s="4">
        <v>1</v>
      </c>
      <c r="E122" s="4">
        <v>1</v>
      </c>
      <c r="F122" s="4">
        <v>2</v>
      </c>
      <c r="G122" s="4"/>
      <c r="H122" s="5" t="s">
        <v>329</v>
      </c>
      <c r="I122" s="20" t="s">
        <v>68</v>
      </c>
      <c r="J122" s="85">
        <v>1</v>
      </c>
      <c r="K122" s="85"/>
      <c r="L122" s="85"/>
      <c r="M122" s="85"/>
      <c r="N122" s="85"/>
      <c r="O122" s="85"/>
      <c r="P122" s="85">
        <f t="shared" si="27"/>
        <v>1</v>
      </c>
      <c r="Q122" s="9">
        <v>2016</v>
      </c>
    </row>
    <row r="123" spans="1:17" ht="30">
      <c r="A123" s="4" t="s">
        <v>134</v>
      </c>
      <c r="B123" s="4">
        <v>1</v>
      </c>
      <c r="C123" s="4">
        <v>2</v>
      </c>
      <c r="D123" s="4">
        <v>1</v>
      </c>
      <c r="E123" s="4">
        <v>1</v>
      </c>
      <c r="F123" s="4">
        <v>3</v>
      </c>
      <c r="G123" s="4">
        <v>3</v>
      </c>
      <c r="H123" s="5" t="s">
        <v>191</v>
      </c>
      <c r="I123" s="3" t="s">
        <v>67</v>
      </c>
      <c r="J123" s="13">
        <v>0</v>
      </c>
      <c r="K123" s="13">
        <v>0</v>
      </c>
      <c r="L123" s="13">
        <v>0</v>
      </c>
      <c r="M123" s="13">
        <f>160350-81000-79350</f>
        <v>0</v>
      </c>
      <c r="N123" s="13">
        <v>0</v>
      </c>
      <c r="O123" s="13">
        <v>81000</v>
      </c>
      <c r="P123" s="7">
        <f aca="true" t="shared" si="29" ref="P123:P129">SUM(J123:O123)</f>
        <v>81000</v>
      </c>
      <c r="Q123" s="9">
        <v>2021</v>
      </c>
    </row>
    <row r="124" spans="1:17" ht="30">
      <c r="A124" s="4" t="s">
        <v>134</v>
      </c>
      <c r="B124" s="4">
        <v>1</v>
      </c>
      <c r="C124" s="4">
        <v>2</v>
      </c>
      <c r="D124" s="4">
        <v>1</v>
      </c>
      <c r="E124" s="4">
        <v>1</v>
      </c>
      <c r="F124" s="4">
        <v>3</v>
      </c>
      <c r="G124" s="4"/>
      <c r="H124" s="5" t="s">
        <v>100</v>
      </c>
      <c r="I124" s="20" t="s">
        <v>210</v>
      </c>
      <c r="J124" s="15"/>
      <c r="K124" s="15"/>
      <c r="L124" s="7"/>
      <c r="M124" s="15"/>
      <c r="N124" s="15"/>
      <c r="O124" s="15">
        <v>1.4</v>
      </c>
      <c r="P124" s="7">
        <f>SUM(J124:O124)</f>
        <v>1.4</v>
      </c>
      <c r="Q124" s="9">
        <v>2021</v>
      </c>
    </row>
    <row r="125" spans="1:18" ht="45">
      <c r="A125" s="4" t="s">
        <v>134</v>
      </c>
      <c r="B125" s="4">
        <v>1</v>
      </c>
      <c r="C125" s="4">
        <v>2</v>
      </c>
      <c r="D125" s="4">
        <v>1</v>
      </c>
      <c r="E125" s="4">
        <v>1</v>
      </c>
      <c r="F125" s="4">
        <v>4</v>
      </c>
      <c r="G125" s="4">
        <v>3</v>
      </c>
      <c r="H125" s="5" t="s">
        <v>53</v>
      </c>
      <c r="I125" s="3" t="s">
        <v>67</v>
      </c>
      <c r="J125" s="6">
        <f>1247</f>
        <v>1247</v>
      </c>
      <c r="K125" s="6">
        <f>2000-2000</f>
        <v>0</v>
      </c>
      <c r="L125" s="6">
        <f>2000-2000</f>
        <v>0</v>
      </c>
      <c r="M125" s="13">
        <f>10000</f>
        <v>10000</v>
      </c>
      <c r="N125" s="13">
        <v>0</v>
      </c>
      <c r="O125" s="13">
        <v>0</v>
      </c>
      <c r="P125" s="7">
        <f t="shared" si="29"/>
        <v>11247</v>
      </c>
      <c r="Q125" s="9">
        <v>2019</v>
      </c>
      <c r="R125" s="16" t="s">
        <v>384</v>
      </c>
    </row>
    <row r="126" spans="1:17" ht="15">
      <c r="A126" s="4" t="s">
        <v>134</v>
      </c>
      <c r="B126" s="4">
        <v>1</v>
      </c>
      <c r="C126" s="4">
        <v>2</v>
      </c>
      <c r="D126" s="4">
        <v>1</v>
      </c>
      <c r="E126" s="4">
        <v>1</v>
      </c>
      <c r="F126" s="4">
        <v>4</v>
      </c>
      <c r="G126" s="4"/>
      <c r="H126" s="5" t="s">
        <v>265</v>
      </c>
      <c r="I126" s="3" t="s">
        <v>68</v>
      </c>
      <c r="J126" s="150">
        <v>1</v>
      </c>
      <c r="K126" s="53"/>
      <c r="L126" s="53"/>
      <c r="M126" s="53"/>
      <c r="N126" s="53"/>
      <c r="O126" s="53"/>
      <c r="P126" s="85">
        <f t="shared" si="29"/>
        <v>1</v>
      </c>
      <c r="Q126" s="9">
        <v>2016</v>
      </c>
    </row>
    <row r="127" spans="1:17" ht="30">
      <c r="A127" s="4" t="s">
        <v>134</v>
      </c>
      <c r="B127" s="4">
        <v>1</v>
      </c>
      <c r="C127" s="4">
        <v>2</v>
      </c>
      <c r="D127" s="4">
        <v>1</v>
      </c>
      <c r="E127" s="4">
        <v>1</v>
      </c>
      <c r="F127" s="4">
        <v>4</v>
      </c>
      <c r="G127" s="4"/>
      <c r="H127" s="5" t="s">
        <v>220</v>
      </c>
      <c r="I127" s="3" t="s">
        <v>219</v>
      </c>
      <c r="J127" s="151"/>
      <c r="K127" s="151"/>
      <c r="L127" s="152"/>
      <c r="M127" s="153">
        <v>0.795</v>
      </c>
      <c r="N127" s="26"/>
      <c r="O127" s="26"/>
      <c r="P127" s="7">
        <f t="shared" si="29"/>
        <v>0.795</v>
      </c>
      <c r="Q127" s="9">
        <v>2019</v>
      </c>
    </row>
    <row r="128" spans="1:18" ht="22.5">
      <c r="A128" s="4" t="s">
        <v>134</v>
      </c>
      <c r="B128" s="4">
        <v>1</v>
      </c>
      <c r="C128" s="4">
        <v>2</v>
      </c>
      <c r="D128" s="4">
        <v>1</v>
      </c>
      <c r="E128" s="4">
        <v>1</v>
      </c>
      <c r="F128" s="4">
        <v>5</v>
      </c>
      <c r="G128" s="4">
        <v>3</v>
      </c>
      <c r="H128" s="5" t="s">
        <v>52</v>
      </c>
      <c r="I128" s="3" t="s">
        <v>67</v>
      </c>
      <c r="J128" s="6">
        <v>0</v>
      </c>
      <c r="K128" s="6">
        <f>10000-10000</f>
        <v>0</v>
      </c>
      <c r="L128" s="6">
        <v>0</v>
      </c>
      <c r="M128" s="6">
        <f>4000-4000</f>
        <v>0</v>
      </c>
      <c r="N128" s="6">
        <v>0</v>
      </c>
      <c r="O128" s="6">
        <f>14000</f>
        <v>14000</v>
      </c>
      <c r="P128" s="7">
        <f t="shared" si="29"/>
        <v>14000</v>
      </c>
      <c r="Q128" s="9">
        <v>2021</v>
      </c>
      <c r="R128" s="16" t="s">
        <v>384</v>
      </c>
    </row>
    <row r="129" spans="1:17" ht="15">
      <c r="A129" s="4" t="s">
        <v>134</v>
      </c>
      <c r="B129" s="4">
        <v>1</v>
      </c>
      <c r="C129" s="4">
        <v>2</v>
      </c>
      <c r="D129" s="4">
        <v>1</v>
      </c>
      <c r="E129" s="4">
        <v>1</v>
      </c>
      <c r="F129" s="4">
        <v>5</v>
      </c>
      <c r="G129" s="4"/>
      <c r="H129" s="5" t="s">
        <v>51</v>
      </c>
      <c r="I129" s="3" t="s">
        <v>367</v>
      </c>
      <c r="J129" s="119"/>
      <c r="K129" s="119">
        <f>384.14-384.14</f>
        <v>0</v>
      </c>
      <c r="L129" s="117"/>
      <c r="M129" s="153">
        <f>147.86-147.86</f>
        <v>0</v>
      </c>
      <c r="N129" s="26"/>
      <c r="O129" s="26">
        <f>384.14+147.86</f>
        <v>532</v>
      </c>
      <c r="P129" s="7">
        <f t="shared" si="29"/>
        <v>532</v>
      </c>
      <c r="Q129" s="9">
        <v>2021</v>
      </c>
    </row>
    <row r="130" spans="1:18" ht="30">
      <c r="A130" s="4" t="s">
        <v>134</v>
      </c>
      <c r="B130" s="4">
        <v>1</v>
      </c>
      <c r="C130" s="4">
        <v>2</v>
      </c>
      <c r="D130" s="4">
        <v>1</v>
      </c>
      <c r="E130" s="4">
        <v>1</v>
      </c>
      <c r="F130" s="4">
        <v>6</v>
      </c>
      <c r="G130" s="4">
        <v>3</v>
      </c>
      <c r="H130" s="5" t="s">
        <v>260</v>
      </c>
      <c r="I130" s="3" t="s">
        <v>67</v>
      </c>
      <c r="J130" s="6">
        <v>0</v>
      </c>
      <c r="K130" s="6">
        <v>2350</v>
      </c>
      <c r="L130" s="6">
        <v>0</v>
      </c>
      <c r="M130" s="6">
        <v>0</v>
      </c>
      <c r="N130" s="6">
        <v>0</v>
      </c>
      <c r="O130" s="6">
        <v>0</v>
      </c>
      <c r="P130" s="7">
        <f aca="true" t="shared" si="30" ref="P130:P139">SUM(J130:O130)</f>
        <v>2350</v>
      </c>
      <c r="Q130" s="9">
        <v>2017</v>
      </c>
      <c r="R130" s="16" t="s">
        <v>384</v>
      </c>
    </row>
    <row r="131" spans="1:17" ht="15">
      <c r="A131" s="4" t="s">
        <v>134</v>
      </c>
      <c r="B131" s="4">
        <v>1</v>
      </c>
      <c r="C131" s="4">
        <v>2</v>
      </c>
      <c r="D131" s="4">
        <v>1</v>
      </c>
      <c r="E131" s="4">
        <v>1</v>
      </c>
      <c r="F131" s="4">
        <v>6</v>
      </c>
      <c r="G131" s="4"/>
      <c r="H131" s="5" t="s">
        <v>261</v>
      </c>
      <c r="I131" s="3" t="s">
        <v>68</v>
      </c>
      <c r="J131" s="125"/>
      <c r="K131" s="125">
        <v>1</v>
      </c>
      <c r="L131" s="125"/>
      <c r="M131" s="126"/>
      <c r="N131" s="127"/>
      <c r="O131" s="127"/>
      <c r="P131" s="85">
        <f t="shared" si="30"/>
        <v>1</v>
      </c>
      <c r="Q131" s="9">
        <v>2017</v>
      </c>
    </row>
    <row r="132" spans="1:18" ht="30">
      <c r="A132" s="4" t="s">
        <v>134</v>
      </c>
      <c r="B132" s="4">
        <v>1</v>
      </c>
      <c r="C132" s="4">
        <v>2</v>
      </c>
      <c r="D132" s="4">
        <v>1</v>
      </c>
      <c r="E132" s="4">
        <v>1</v>
      </c>
      <c r="F132" s="4">
        <v>7</v>
      </c>
      <c r="G132" s="4">
        <v>3</v>
      </c>
      <c r="H132" s="5" t="s">
        <v>102</v>
      </c>
      <c r="I132" s="3" t="s">
        <v>67</v>
      </c>
      <c r="J132" s="6">
        <f>121.5-0.1</f>
        <v>121.4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7">
        <f t="shared" si="30"/>
        <v>121.4</v>
      </c>
      <c r="Q132" s="9">
        <v>2016</v>
      </c>
      <c r="R132" s="16" t="s">
        <v>431</v>
      </c>
    </row>
    <row r="133" spans="1:17" ht="30">
      <c r="A133" s="4" t="s">
        <v>134</v>
      </c>
      <c r="B133" s="4">
        <v>1</v>
      </c>
      <c r="C133" s="4">
        <v>2</v>
      </c>
      <c r="D133" s="4">
        <v>1</v>
      </c>
      <c r="E133" s="4">
        <v>1</v>
      </c>
      <c r="F133" s="4">
        <v>7</v>
      </c>
      <c r="G133" s="4"/>
      <c r="H133" s="5" t="s">
        <v>432</v>
      </c>
      <c r="I133" s="3" t="s">
        <v>68</v>
      </c>
      <c r="J133" s="124">
        <v>2</v>
      </c>
      <c r="K133" s="125"/>
      <c r="L133" s="125"/>
      <c r="M133" s="126"/>
      <c r="N133" s="127"/>
      <c r="O133" s="127"/>
      <c r="P133" s="85">
        <f t="shared" si="30"/>
        <v>2</v>
      </c>
      <c r="Q133" s="9">
        <v>2016</v>
      </c>
    </row>
    <row r="134" spans="1:17" ht="45">
      <c r="A134" s="4" t="s">
        <v>134</v>
      </c>
      <c r="B134" s="4">
        <v>1</v>
      </c>
      <c r="C134" s="4">
        <v>2</v>
      </c>
      <c r="D134" s="4">
        <v>1</v>
      </c>
      <c r="E134" s="4">
        <v>1</v>
      </c>
      <c r="F134" s="4">
        <v>8</v>
      </c>
      <c r="G134" s="4">
        <v>3</v>
      </c>
      <c r="H134" s="5" t="s">
        <v>203</v>
      </c>
      <c r="I134" s="3" t="s">
        <v>67</v>
      </c>
      <c r="J134" s="6">
        <v>0</v>
      </c>
      <c r="K134" s="6">
        <v>0</v>
      </c>
      <c r="L134" s="6">
        <v>0</v>
      </c>
      <c r="M134" s="6">
        <v>50000</v>
      </c>
      <c r="N134" s="6">
        <v>20000</v>
      </c>
      <c r="O134" s="6">
        <f>127292.3-M134-N134-2891.8</f>
        <v>54400.5</v>
      </c>
      <c r="P134" s="7">
        <f t="shared" si="30"/>
        <v>124400.5</v>
      </c>
      <c r="Q134" s="9">
        <v>2021</v>
      </c>
    </row>
    <row r="135" spans="1:17" ht="30">
      <c r="A135" s="4" t="s">
        <v>134</v>
      </c>
      <c r="B135" s="4">
        <v>1</v>
      </c>
      <c r="C135" s="4">
        <v>2</v>
      </c>
      <c r="D135" s="4">
        <v>1</v>
      </c>
      <c r="E135" s="4">
        <v>1</v>
      </c>
      <c r="F135" s="4">
        <v>8</v>
      </c>
      <c r="G135" s="4"/>
      <c r="H135" s="5" t="s">
        <v>5</v>
      </c>
      <c r="I135" s="3" t="s">
        <v>66</v>
      </c>
      <c r="J135" s="154"/>
      <c r="K135" s="46"/>
      <c r="L135" s="155"/>
      <c r="M135" s="156">
        <v>2160</v>
      </c>
      <c r="N135" s="4"/>
      <c r="O135" s="4"/>
      <c r="P135" s="67">
        <f t="shared" si="30"/>
        <v>2160</v>
      </c>
      <c r="Q135" s="9">
        <v>2019</v>
      </c>
    </row>
    <row r="136" spans="1:17" ht="15">
      <c r="A136" s="4" t="s">
        <v>134</v>
      </c>
      <c r="B136" s="4">
        <v>1</v>
      </c>
      <c r="C136" s="4">
        <v>2</v>
      </c>
      <c r="D136" s="4">
        <v>1</v>
      </c>
      <c r="E136" s="4">
        <v>1</v>
      </c>
      <c r="F136" s="4">
        <v>8</v>
      </c>
      <c r="G136" s="4"/>
      <c r="H136" s="5" t="s">
        <v>222</v>
      </c>
      <c r="I136" s="3" t="s">
        <v>68</v>
      </c>
      <c r="J136" s="157"/>
      <c r="K136" s="157"/>
      <c r="L136" s="157"/>
      <c r="M136" s="156"/>
      <c r="N136" s="90">
        <v>3</v>
      </c>
      <c r="O136" s="90"/>
      <c r="P136" s="90">
        <f t="shared" si="30"/>
        <v>3</v>
      </c>
      <c r="Q136" s="9">
        <v>2020</v>
      </c>
    </row>
    <row r="137" spans="1:17" ht="30">
      <c r="A137" s="4" t="s">
        <v>134</v>
      </c>
      <c r="B137" s="4">
        <v>1</v>
      </c>
      <c r="C137" s="4">
        <v>2</v>
      </c>
      <c r="D137" s="4">
        <v>1</v>
      </c>
      <c r="E137" s="4">
        <v>1</v>
      </c>
      <c r="F137" s="4">
        <v>8</v>
      </c>
      <c r="G137" s="4"/>
      <c r="H137" s="5" t="s">
        <v>221</v>
      </c>
      <c r="I137" s="3" t="s">
        <v>367</v>
      </c>
      <c r="J137" s="154"/>
      <c r="K137" s="46"/>
      <c r="L137" s="155"/>
      <c r="M137" s="158"/>
      <c r="N137" s="4"/>
      <c r="O137" s="90">
        <v>2982</v>
      </c>
      <c r="P137" s="67">
        <f>SUM(J137:O137)</f>
        <v>2982</v>
      </c>
      <c r="Q137" s="9">
        <v>2021</v>
      </c>
    </row>
    <row r="138" spans="1:17" ht="45">
      <c r="A138" s="4" t="s">
        <v>134</v>
      </c>
      <c r="B138" s="4">
        <v>1</v>
      </c>
      <c r="C138" s="4">
        <v>2</v>
      </c>
      <c r="D138" s="4">
        <v>1</v>
      </c>
      <c r="E138" s="4">
        <v>1</v>
      </c>
      <c r="F138" s="4">
        <v>9</v>
      </c>
      <c r="G138" s="4">
        <v>3</v>
      </c>
      <c r="H138" s="5" t="s">
        <v>204</v>
      </c>
      <c r="I138" s="3" t="s">
        <v>67</v>
      </c>
      <c r="J138" s="13">
        <f>J139</f>
        <v>0</v>
      </c>
      <c r="K138" s="13">
        <f>K139</f>
        <v>0</v>
      </c>
      <c r="L138" s="13">
        <f>L139</f>
        <v>0</v>
      </c>
      <c r="M138" s="13">
        <f>M139</f>
        <v>0</v>
      </c>
      <c r="N138" s="13">
        <f>N139</f>
        <v>0</v>
      </c>
      <c r="O138" s="6">
        <v>10000</v>
      </c>
      <c r="P138" s="7">
        <f t="shared" si="30"/>
        <v>10000</v>
      </c>
      <c r="Q138" s="9">
        <v>2021</v>
      </c>
    </row>
    <row r="139" spans="1:17" ht="30">
      <c r="A139" s="4" t="s">
        <v>134</v>
      </c>
      <c r="B139" s="4">
        <v>1</v>
      </c>
      <c r="C139" s="4">
        <v>2</v>
      </c>
      <c r="D139" s="4">
        <v>1</v>
      </c>
      <c r="E139" s="4">
        <v>1</v>
      </c>
      <c r="F139" s="4">
        <v>9</v>
      </c>
      <c r="G139" s="4"/>
      <c r="H139" s="5" t="s">
        <v>223</v>
      </c>
      <c r="I139" s="3" t="s">
        <v>30</v>
      </c>
      <c r="J139" s="118"/>
      <c r="K139" s="119"/>
      <c r="L139" s="117"/>
      <c r="M139" s="153"/>
      <c r="N139" s="26"/>
      <c r="O139" s="7">
        <v>1868</v>
      </c>
      <c r="P139" s="7">
        <f t="shared" si="30"/>
        <v>1868</v>
      </c>
      <c r="Q139" s="9">
        <v>2021</v>
      </c>
    </row>
    <row r="140" spans="1:17" ht="30">
      <c r="A140" s="4" t="s">
        <v>134</v>
      </c>
      <c r="B140" s="4">
        <v>1</v>
      </c>
      <c r="C140" s="4">
        <v>2</v>
      </c>
      <c r="D140" s="4">
        <v>1</v>
      </c>
      <c r="E140" s="4">
        <v>2</v>
      </c>
      <c r="F140" s="4">
        <v>0</v>
      </c>
      <c r="G140" s="4">
        <v>3</v>
      </c>
      <c r="H140" s="5" t="s">
        <v>337</v>
      </c>
      <c r="I140" s="3" t="s">
        <v>67</v>
      </c>
      <c r="J140" s="13">
        <f>J141</f>
        <v>0</v>
      </c>
      <c r="K140" s="13">
        <v>4838</v>
      </c>
      <c r="L140" s="13">
        <v>0</v>
      </c>
      <c r="M140" s="13">
        <v>0</v>
      </c>
      <c r="N140" s="13">
        <v>0</v>
      </c>
      <c r="O140" s="13">
        <f>76252.8-K140</f>
        <v>71414.8</v>
      </c>
      <c r="P140" s="7">
        <f aca="true" t="shared" si="31" ref="P140:P147">SUM(J140:O140)</f>
        <v>76252.8</v>
      </c>
      <c r="Q140" s="9">
        <v>2021</v>
      </c>
    </row>
    <row r="141" spans="1:17" ht="15">
      <c r="A141" s="4" t="s">
        <v>134</v>
      </c>
      <c r="B141" s="4">
        <v>1</v>
      </c>
      <c r="C141" s="4">
        <v>2</v>
      </c>
      <c r="D141" s="4">
        <v>1</v>
      </c>
      <c r="E141" s="4">
        <v>2</v>
      </c>
      <c r="F141" s="4">
        <v>0</v>
      </c>
      <c r="G141" s="4"/>
      <c r="H141" s="5" t="s">
        <v>335</v>
      </c>
      <c r="I141" s="3" t="s">
        <v>350</v>
      </c>
      <c r="J141" s="118"/>
      <c r="K141" s="119">
        <v>226</v>
      </c>
      <c r="L141" s="117"/>
      <c r="M141" s="153"/>
      <c r="N141" s="26"/>
      <c r="O141" s="7"/>
      <c r="P141" s="7">
        <f t="shared" si="31"/>
        <v>226</v>
      </c>
      <c r="Q141" s="9">
        <v>2017</v>
      </c>
    </row>
    <row r="142" spans="1:17" ht="30">
      <c r="A142" s="4" t="s">
        <v>134</v>
      </c>
      <c r="B142" s="4">
        <v>1</v>
      </c>
      <c r="C142" s="4">
        <v>2</v>
      </c>
      <c r="D142" s="4">
        <v>1</v>
      </c>
      <c r="E142" s="4">
        <v>2</v>
      </c>
      <c r="F142" s="4">
        <v>0</v>
      </c>
      <c r="G142" s="4"/>
      <c r="H142" s="5" t="s">
        <v>339</v>
      </c>
      <c r="I142" s="3" t="s">
        <v>350</v>
      </c>
      <c r="J142" s="118"/>
      <c r="K142" s="119"/>
      <c r="L142" s="117"/>
      <c r="M142" s="153"/>
      <c r="N142" s="130"/>
      <c r="O142" s="85">
        <v>571</v>
      </c>
      <c r="P142" s="7">
        <f t="shared" si="31"/>
        <v>571</v>
      </c>
      <c r="Q142" s="9">
        <v>2021</v>
      </c>
    </row>
    <row r="143" spans="1:17" ht="28.5" customHeight="1">
      <c r="A143" s="4" t="s">
        <v>134</v>
      </c>
      <c r="B143" s="4">
        <v>1</v>
      </c>
      <c r="C143" s="4">
        <v>2</v>
      </c>
      <c r="D143" s="4">
        <v>1</v>
      </c>
      <c r="E143" s="4">
        <v>2</v>
      </c>
      <c r="F143" s="4">
        <v>1</v>
      </c>
      <c r="G143" s="4">
        <v>3</v>
      </c>
      <c r="H143" s="5" t="s">
        <v>317</v>
      </c>
      <c r="I143" s="3" t="s">
        <v>67</v>
      </c>
      <c r="J143" s="116"/>
      <c r="K143" s="67"/>
      <c r="L143" s="67">
        <v>4945</v>
      </c>
      <c r="M143" s="128"/>
      <c r="N143" s="67"/>
      <c r="O143" s="7"/>
      <c r="P143" s="7">
        <f t="shared" si="31"/>
        <v>4945</v>
      </c>
      <c r="Q143" s="9">
        <v>2018</v>
      </c>
    </row>
    <row r="144" spans="1:17" ht="30">
      <c r="A144" s="4" t="s">
        <v>134</v>
      </c>
      <c r="B144" s="4">
        <v>1</v>
      </c>
      <c r="C144" s="4">
        <v>2</v>
      </c>
      <c r="D144" s="4">
        <v>1</v>
      </c>
      <c r="E144" s="4">
        <v>2</v>
      </c>
      <c r="F144" s="4">
        <v>1</v>
      </c>
      <c r="G144" s="4"/>
      <c r="H144" s="5" t="s">
        <v>316</v>
      </c>
      <c r="I144" s="3" t="s">
        <v>68</v>
      </c>
      <c r="J144" s="118"/>
      <c r="K144" s="130"/>
      <c r="L144" s="130">
        <v>1</v>
      </c>
      <c r="M144" s="153"/>
      <c r="N144" s="130"/>
      <c r="O144" s="7"/>
      <c r="P144" s="7">
        <f t="shared" si="31"/>
        <v>1</v>
      </c>
      <c r="Q144" s="9">
        <v>2018</v>
      </c>
    </row>
    <row r="145" spans="1:17" ht="45">
      <c r="A145" s="4" t="s">
        <v>134</v>
      </c>
      <c r="B145" s="4">
        <v>1</v>
      </c>
      <c r="C145" s="4">
        <v>2</v>
      </c>
      <c r="D145" s="4">
        <v>1</v>
      </c>
      <c r="E145" s="4">
        <v>2</v>
      </c>
      <c r="F145" s="4">
        <v>2</v>
      </c>
      <c r="G145" s="4"/>
      <c r="H145" s="5" t="s">
        <v>284</v>
      </c>
      <c r="I145" s="3" t="s">
        <v>67</v>
      </c>
      <c r="J145" s="116"/>
      <c r="K145" s="117"/>
      <c r="L145" s="67">
        <v>703.4</v>
      </c>
      <c r="M145" s="67">
        <v>5000</v>
      </c>
      <c r="N145" s="67"/>
      <c r="O145" s="7"/>
      <c r="P145" s="7">
        <f t="shared" si="31"/>
        <v>5703.4</v>
      </c>
      <c r="Q145" s="9">
        <v>2019</v>
      </c>
    </row>
    <row r="146" spans="1:17" ht="30">
      <c r="A146" s="4" t="s">
        <v>134</v>
      </c>
      <c r="B146" s="4">
        <v>1</v>
      </c>
      <c r="C146" s="4">
        <v>2</v>
      </c>
      <c r="D146" s="4">
        <v>1</v>
      </c>
      <c r="E146" s="4">
        <v>2</v>
      </c>
      <c r="F146" s="4">
        <v>2</v>
      </c>
      <c r="G146" s="4"/>
      <c r="H146" s="5" t="s">
        <v>285</v>
      </c>
      <c r="I146" s="3" t="s">
        <v>68</v>
      </c>
      <c r="J146" s="116"/>
      <c r="K146" s="117"/>
      <c r="L146" s="67">
        <v>1</v>
      </c>
      <c r="M146" s="128"/>
      <c r="N146" s="129"/>
      <c r="O146" s="7"/>
      <c r="P146" s="7">
        <f t="shared" si="31"/>
        <v>1</v>
      </c>
      <c r="Q146" s="9">
        <v>2018</v>
      </c>
    </row>
    <row r="147" spans="1:17" ht="30">
      <c r="A147" s="4" t="s">
        <v>134</v>
      </c>
      <c r="B147" s="4">
        <v>1</v>
      </c>
      <c r="C147" s="4">
        <v>2</v>
      </c>
      <c r="D147" s="4">
        <v>1</v>
      </c>
      <c r="E147" s="4">
        <v>2</v>
      </c>
      <c r="F147" s="4">
        <v>2</v>
      </c>
      <c r="G147" s="4"/>
      <c r="H147" s="5" t="s">
        <v>286</v>
      </c>
      <c r="I147" s="3" t="s">
        <v>350</v>
      </c>
      <c r="J147" s="118"/>
      <c r="K147" s="119"/>
      <c r="L147" s="117"/>
      <c r="M147" s="130">
        <v>78.4</v>
      </c>
      <c r="N147" s="129"/>
      <c r="O147" s="7"/>
      <c r="P147" s="7">
        <f t="shared" si="31"/>
        <v>78.4</v>
      </c>
      <c r="Q147" s="9">
        <v>2019</v>
      </c>
    </row>
    <row r="148" spans="1:17" ht="15">
      <c r="A148" s="4" t="s">
        <v>134</v>
      </c>
      <c r="B148" s="4">
        <v>1</v>
      </c>
      <c r="C148" s="4">
        <v>2</v>
      </c>
      <c r="D148" s="4">
        <v>2</v>
      </c>
      <c r="E148" s="4">
        <v>0</v>
      </c>
      <c r="F148" s="4">
        <v>0</v>
      </c>
      <c r="G148" s="4"/>
      <c r="H148" s="5" t="s">
        <v>76</v>
      </c>
      <c r="I148" s="3" t="s">
        <v>67</v>
      </c>
      <c r="J148" s="6">
        <f>J151+J150</f>
        <v>28001.7</v>
      </c>
      <c r="K148" s="6">
        <f aca="true" t="shared" si="32" ref="K148:P148">K151+K150</f>
        <v>18169.5</v>
      </c>
      <c r="L148" s="6">
        <f t="shared" si="32"/>
        <v>100276.3</v>
      </c>
      <c r="M148" s="6">
        <f t="shared" si="32"/>
        <v>75568.6</v>
      </c>
      <c r="N148" s="6">
        <f t="shared" si="32"/>
        <v>110000</v>
      </c>
      <c r="O148" s="6">
        <f t="shared" si="32"/>
        <v>261301.4</v>
      </c>
      <c r="P148" s="6">
        <f t="shared" si="32"/>
        <v>593317.5</v>
      </c>
      <c r="Q148" s="9">
        <v>2021</v>
      </c>
    </row>
    <row r="149" spans="1:17" ht="15">
      <c r="A149" s="4" t="s">
        <v>134</v>
      </c>
      <c r="B149" s="4">
        <v>1</v>
      </c>
      <c r="C149" s="4">
        <v>2</v>
      </c>
      <c r="D149" s="4">
        <v>2</v>
      </c>
      <c r="E149" s="4">
        <v>0</v>
      </c>
      <c r="F149" s="4">
        <v>0</v>
      </c>
      <c r="G149" s="4">
        <v>1</v>
      </c>
      <c r="H149" s="5" t="s">
        <v>31</v>
      </c>
      <c r="I149" s="3" t="s">
        <v>67</v>
      </c>
      <c r="J149" s="6"/>
      <c r="K149" s="6"/>
      <c r="L149" s="6">
        <f>L185</f>
        <v>0</v>
      </c>
      <c r="M149" s="6">
        <f>M185</f>
        <v>0</v>
      </c>
      <c r="N149" s="6">
        <f>N185</f>
        <v>0</v>
      </c>
      <c r="O149" s="6">
        <f>O185</f>
        <v>0</v>
      </c>
      <c r="P149" s="6">
        <f>P185</f>
        <v>0</v>
      </c>
      <c r="Q149" s="9"/>
    </row>
    <row r="150" spans="1:17" ht="15">
      <c r="A150" s="4" t="s">
        <v>134</v>
      </c>
      <c r="B150" s="4">
        <v>1</v>
      </c>
      <c r="C150" s="4">
        <v>2</v>
      </c>
      <c r="D150" s="4">
        <v>2</v>
      </c>
      <c r="E150" s="4">
        <v>0</v>
      </c>
      <c r="F150" s="4">
        <v>0</v>
      </c>
      <c r="G150" s="4">
        <v>2</v>
      </c>
      <c r="H150" s="5" t="s">
        <v>32</v>
      </c>
      <c r="I150" s="3" t="s">
        <v>67</v>
      </c>
      <c r="J150" s="7">
        <f aca="true" t="shared" si="33" ref="J150:O150">J159+J179+J186</f>
        <v>11942.7</v>
      </c>
      <c r="K150" s="7">
        <f t="shared" si="33"/>
        <v>0</v>
      </c>
      <c r="L150" s="7">
        <f t="shared" si="33"/>
        <v>52501.4</v>
      </c>
      <c r="M150" s="7">
        <f t="shared" si="33"/>
        <v>52368.6</v>
      </c>
      <c r="N150" s="7">
        <f t="shared" si="33"/>
        <v>0</v>
      </c>
      <c r="O150" s="7">
        <f t="shared" si="33"/>
        <v>40000</v>
      </c>
      <c r="P150" s="7">
        <f>SUM(J150:O150)</f>
        <v>156812.7</v>
      </c>
      <c r="Q150" s="9">
        <v>2021</v>
      </c>
    </row>
    <row r="151" spans="1:17" ht="15">
      <c r="A151" s="4" t="s">
        <v>134</v>
      </c>
      <c r="B151" s="4">
        <v>1</v>
      </c>
      <c r="C151" s="4">
        <v>2</v>
      </c>
      <c r="D151" s="4">
        <v>2</v>
      </c>
      <c r="E151" s="4">
        <v>0</v>
      </c>
      <c r="F151" s="4">
        <v>0</v>
      </c>
      <c r="G151" s="4">
        <v>3</v>
      </c>
      <c r="H151" s="5" t="s">
        <v>33</v>
      </c>
      <c r="I151" s="3" t="s">
        <v>67</v>
      </c>
      <c r="J151" s="7">
        <f aca="true" t="shared" si="34" ref="J151:O151">J160+J163+J165+J167+J169+J173+J154+J180+J187+J192</f>
        <v>16059</v>
      </c>
      <c r="K151" s="7">
        <f t="shared" si="34"/>
        <v>18169.5</v>
      </c>
      <c r="L151" s="7">
        <f t="shared" si="34"/>
        <v>47774.9</v>
      </c>
      <c r="M151" s="7">
        <f t="shared" si="34"/>
        <v>23200</v>
      </c>
      <c r="N151" s="7">
        <f t="shared" si="34"/>
        <v>110000</v>
      </c>
      <c r="O151" s="7">
        <f t="shared" si="34"/>
        <v>221301.4</v>
      </c>
      <c r="P151" s="7">
        <f>SUM(J151:O151)</f>
        <v>436504.8</v>
      </c>
      <c r="Q151" s="9">
        <v>2021</v>
      </c>
    </row>
    <row r="152" spans="1:17" ht="15">
      <c r="A152" s="4" t="s">
        <v>134</v>
      </c>
      <c r="B152" s="4">
        <v>1</v>
      </c>
      <c r="C152" s="4">
        <v>2</v>
      </c>
      <c r="D152" s="4">
        <v>2</v>
      </c>
      <c r="E152" s="4">
        <v>0</v>
      </c>
      <c r="F152" s="4">
        <v>0</v>
      </c>
      <c r="G152" s="4"/>
      <c r="H152" s="5" t="s">
        <v>89</v>
      </c>
      <c r="I152" s="3" t="str">
        <f>расчет_показ!B87</f>
        <v>%</v>
      </c>
      <c r="J152" s="48">
        <f>расчет_показ!E87</f>
        <v>111.23724711841882</v>
      </c>
      <c r="K152" s="48">
        <f>расчет_показ!F87</f>
        <v>112.00588884799411</v>
      </c>
      <c r="L152" s="6">
        <f>расчет_показ!G87</f>
        <v>112.95221632300283</v>
      </c>
      <c r="M152" s="48">
        <f>расчет_показ!H87</f>
        <v>114.29285232468085</v>
      </c>
      <c r="N152" s="48">
        <f>расчет_показ!I87</f>
        <v>116.53807959666946</v>
      </c>
      <c r="O152" s="48">
        <f>расчет_показ!J87</f>
        <v>118.81928398971935</v>
      </c>
      <c r="P152" s="48">
        <f>O152</f>
        <v>118.81928398971935</v>
      </c>
      <c r="Q152" s="9">
        <v>2021</v>
      </c>
    </row>
    <row r="153" spans="1:17" ht="45">
      <c r="A153" s="4" t="s">
        <v>134</v>
      </c>
      <c r="B153" s="4">
        <v>1</v>
      </c>
      <c r="C153" s="4">
        <v>2</v>
      </c>
      <c r="D153" s="4">
        <v>2</v>
      </c>
      <c r="E153" s="4">
        <v>0</v>
      </c>
      <c r="F153" s="4">
        <v>0</v>
      </c>
      <c r="G153" s="4"/>
      <c r="H153" s="5" t="s">
        <v>392</v>
      </c>
      <c r="I153" s="3" t="s">
        <v>69</v>
      </c>
      <c r="J153" s="8">
        <f>расчет_показ!E94</f>
        <v>36.55361426565539</v>
      </c>
      <c r="K153" s="8">
        <f>расчет_показ!F94</f>
        <v>36.765384337463246</v>
      </c>
      <c r="L153" s="8">
        <f>расчет_показ!G94</f>
        <v>36.88031051645176</v>
      </c>
      <c r="M153" s="8">
        <f>расчет_показ!H94</f>
        <v>37.014124388633334</v>
      </c>
      <c r="N153" s="8">
        <f>расчет_показ!I94</f>
        <v>37.15196450136209</v>
      </c>
      <c r="O153" s="8">
        <f>расчет_показ!J94</f>
        <v>37.29903627638398</v>
      </c>
      <c r="P153" s="8">
        <f>O153</f>
        <v>37.29903627638398</v>
      </c>
      <c r="Q153" s="9">
        <v>2021</v>
      </c>
    </row>
    <row r="154" spans="1:17" ht="45">
      <c r="A154" s="4" t="s">
        <v>134</v>
      </c>
      <c r="B154" s="4">
        <v>1</v>
      </c>
      <c r="C154" s="4">
        <v>2</v>
      </c>
      <c r="D154" s="4">
        <v>2</v>
      </c>
      <c r="E154" s="4">
        <v>0</v>
      </c>
      <c r="F154" s="4">
        <v>1</v>
      </c>
      <c r="G154" s="4">
        <v>3</v>
      </c>
      <c r="H154" s="5" t="s">
        <v>212</v>
      </c>
      <c r="I154" s="3" t="s">
        <v>67</v>
      </c>
      <c r="J154" s="7">
        <v>0</v>
      </c>
      <c r="K154" s="7">
        <v>17503.9</v>
      </c>
      <c r="L154" s="7">
        <v>7880.8</v>
      </c>
      <c r="M154" s="7">
        <v>0</v>
      </c>
      <c r="N154" s="7">
        <v>0</v>
      </c>
      <c r="O154" s="7">
        <v>0</v>
      </c>
      <c r="P154" s="7">
        <f>SUM(J154:O154)</f>
        <v>25384.7</v>
      </c>
      <c r="Q154" s="9">
        <v>2018</v>
      </c>
    </row>
    <row r="155" spans="1:17" ht="15">
      <c r="A155" s="4" t="s">
        <v>134</v>
      </c>
      <c r="B155" s="4">
        <v>1</v>
      </c>
      <c r="C155" s="4">
        <v>2</v>
      </c>
      <c r="D155" s="4">
        <v>2</v>
      </c>
      <c r="E155" s="4">
        <v>0</v>
      </c>
      <c r="F155" s="4">
        <v>1</v>
      </c>
      <c r="G155" s="4"/>
      <c r="H155" s="5" t="s">
        <v>391</v>
      </c>
      <c r="I155" s="3" t="s">
        <v>68</v>
      </c>
      <c r="J155" s="85"/>
      <c r="K155" s="85">
        <v>1</v>
      </c>
      <c r="L155" s="85"/>
      <c r="M155" s="85"/>
      <c r="N155" s="85"/>
      <c r="O155" s="85"/>
      <c r="P155" s="85">
        <f>SUM(J155:O155)</f>
        <v>1</v>
      </c>
      <c r="Q155" s="9">
        <v>2017</v>
      </c>
    </row>
    <row r="156" spans="1:17" ht="15">
      <c r="A156" s="4" t="s">
        <v>134</v>
      </c>
      <c r="B156" s="4">
        <v>1</v>
      </c>
      <c r="C156" s="4">
        <v>2</v>
      </c>
      <c r="D156" s="4">
        <v>2</v>
      </c>
      <c r="E156" s="4">
        <v>0</v>
      </c>
      <c r="F156" s="4">
        <v>1</v>
      </c>
      <c r="G156" s="4"/>
      <c r="H156" s="5" t="s">
        <v>334</v>
      </c>
      <c r="I156" s="3" t="s">
        <v>66</v>
      </c>
      <c r="J156" s="7"/>
      <c r="K156" s="7">
        <f>60*31</f>
        <v>1860</v>
      </c>
      <c r="L156" s="7"/>
      <c r="M156" s="7"/>
      <c r="N156" s="7"/>
      <c r="O156" s="7"/>
      <c r="P156" s="7">
        <f>SUM(J156:O156)</f>
        <v>1860</v>
      </c>
      <c r="Q156" s="9">
        <v>2017</v>
      </c>
    </row>
    <row r="157" spans="1:17" ht="22.5" customHeight="1">
      <c r="A157" s="4" t="s">
        <v>134</v>
      </c>
      <c r="B157" s="4">
        <v>1</v>
      </c>
      <c r="C157" s="4">
        <v>2</v>
      </c>
      <c r="D157" s="4">
        <v>2</v>
      </c>
      <c r="E157" s="4">
        <v>0</v>
      </c>
      <c r="F157" s="4">
        <v>1</v>
      </c>
      <c r="G157" s="4"/>
      <c r="H157" s="5" t="s">
        <v>336</v>
      </c>
      <c r="I157" s="3" t="s">
        <v>213</v>
      </c>
      <c r="J157" s="7"/>
      <c r="K157" s="7"/>
      <c r="L157" s="7">
        <v>18271</v>
      </c>
      <c r="M157" s="7"/>
      <c r="N157" s="7"/>
      <c r="O157" s="7"/>
      <c r="P157" s="7">
        <f>SUM(J157:O157)</f>
        <v>18271</v>
      </c>
      <c r="Q157" s="9">
        <v>2018</v>
      </c>
    </row>
    <row r="158" spans="1:18" ht="30">
      <c r="A158" s="4" t="s">
        <v>134</v>
      </c>
      <c r="B158" s="4">
        <v>1</v>
      </c>
      <c r="C158" s="4">
        <v>2</v>
      </c>
      <c r="D158" s="4">
        <v>2</v>
      </c>
      <c r="E158" s="4">
        <v>0</v>
      </c>
      <c r="F158" s="4">
        <v>2</v>
      </c>
      <c r="G158" s="4"/>
      <c r="H158" s="5" t="s">
        <v>184</v>
      </c>
      <c r="I158" s="3" t="s">
        <v>67</v>
      </c>
      <c r="J158" s="7">
        <f>J159+J160</f>
        <v>13378.300000000001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f aca="true" t="shared" si="35" ref="P158:P168">SUM(J158:O158)</f>
        <v>13378.300000000001</v>
      </c>
      <c r="Q158" s="9">
        <v>2016</v>
      </c>
      <c r="R158" s="16" t="s">
        <v>384</v>
      </c>
    </row>
    <row r="159" spans="1:17" ht="15">
      <c r="A159" s="4" t="s">
        <v>134</v>
      </c>
      <c r="B159" s="4">
        <v>1</v>
      </c>
      <c r="C159" s="4">
        <v>2</v>
      </c>
      <c r="D159" s="4">
        <v>2</v>
      </c>
      <c r="E159" s="4">
        <v>0</v>
      </c>
      <c r="F159" s="4">
        <v>2</v>
      </c>
      <c r="G159" s="4">
        <v>2</v>
      </c>
      <c r="H159" s="5" t="s">
        <v>32</v>
      </c>
      <c r="I159" s="3" t="s">
        <v>67</v>
      </c>
      <c r="J159" s="7">
        <f>16122.9-4180.2</f>
        <v>11942.7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f t="shared" si="35"/>
        <v>11942.7</v>
      </c>
      <c r="Q159" s="9">
        <v>2016</v>
      </c>
    </row>
    <row r="160" spans="1:17" ht="15">
      <c r="A160" s="4" t="s">
        <v>134</v>
      </c>
      <c r="B160" s="4">
        <v>1</v>
      </c>
      <c r="C160" s="4">
        <v>2</v>
      </c>
      <c r="D160" s="4">
        <v>2</v>
      </c>
      <c r="E160" s="4">
        <v>0</v>
      </c>
      <c r="F160" s="4">
        <v>2</v>
      </c>
      <c r="G160" s="4">
        <v>3</v>
      </c>
      <c r="H160" s="5" t="s">
        <v>33</v>
      </c>
      <c r="I160" s="3" t="s">
        <v>67</v>
      </c>
      <c r="J160" s="7">
        <f>1494.3-58.7</f>
        <v>1435.6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f t="shared" si="35"/>
        <v>1435.6</v>
      </c>
      <c r="Q160" s="9">
        <v>2016</v>
      </c>
    </row>
    <row r="161" spans="1:17" ht="15">
      <c r="A161" s="4" t="s">
        <v>134</v>
      </c>
      <c r="B161" s="4">
        <v>1</v>
      </c>
      <c r="C161" s="4">
        <v>2</v>
      </c>
      <c r="D161" s="4">
        <v>2</v>
      </c>
      <c r="E161" s="4">
        <v>0</v>
      </c>
      <c r="F161" s="4">
        <v>2</v>
      </c>
      <c r="G161" s="4"/>
      <c r="H161" s="5" t="s">
        <v>375</v>
      </c>
      <c r="I161" s="3" t="s">
        <v>68</v>
      </c>
      <c r="J161" s="85">
        <v>1</v>
      </c>
      <c r="K161" s="85"/>
      <c r="L161" s="85"/>
      <c r="M161" s="85"/>
      <c r="N161" s="85"/>
      <c r="O161" s="85"/>
      <c r="P161" s="85">
        <f t="shared" si="35"/>
        <v>1</v>
      </c>
      <c r="Q161" s="9">
        <v>2016</v>
      </c>
    </row>
    <row r="162" spans="1:17" ht="30">
      <c r="A162" s="4" t="s">
        <v>134</v>
      </c>
      <c r="B162" s="4">
        <v>1</v>
      </c>
      <c r="C162" s="4">
        <v>2</v>
      </c>
      <c r="D162" s="4">
        <v>2</v>
      </c>
      <c r="E162" s="4">
        <v>0</v>
      </c>
      <c r="F162" s="4">
        <v>2</v>
      </c>
      <c r="G162" s="4"/>
      <c r="H162" s="5" t="s">
        <v>194</v>
      </c>
      <c r="I162" s="3" t="s">
        <v>68</v>
      </c>
      <c r="J162" s="85">
        <v>1</v>
      </c>
      <c r="K162" s="85"/>
      <c r="L162" s="85"/>
      <c r="M162" s="85"/>
      <c r="N162" s="85"/>
      <c r="O162" s="85"/>
      <c r="P162" s="85">
        <f t="shared" si="35"/>
        <v>1</v>
      </c>
      <c r="Q162" s="9">
        <v>2016</v>
      </c>
    </row>
    <row r="163" spans="1:18" ht="30">
      <c r="A163" s="4" t="s">
        <v>134</v>
      </c>
      <c r="B163" s="4">
        <v>1</v>
      </c>
      <c r="C163" s="4">
        <v>2</v>
      </c>
      <c r="D163" s="4">
        <v>2</v>
      </c>
      <c r="E163" s="4">
        <v>0</v>
      </c>
      <c r="F163" s="4">
        <v>3</v>
      </c>
      <c r="G163" s="4">
        <v>3</v>
      </c>
      <c r="H163" s="5" t="s">
        <v>185</v>
      </c>
      <c r="I163" s="3" t="s">
        <v>67</v>
      </c>
      <c r="J163" s="7">
        <v>11703.9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f>O163+N163+M163+L163+K163+J163</f>
        <v>11703.9</v>
      </c>
      <c r="Q163" s="9">
        <v>2016</v>
      </c>
      <c r="R163" s="16" t="s">
        <v>384</v>
      </c>
    </row>
    <row r="164" spans="1:17" ht="45">
      <c r="A164" s="4" t="s">
        <v>134</v>
      </c>
      <c r="B164" s="4">
        <v>1</v>
      </c>
      <c r="C164" s="4">
        <v>2</v>
      </c>
      <c r="D164" s="4">
        <v>2</v>
      </c>
      <c r="E164" s="4">
        <v>0</v>
      </c>
      <c r="F164" s="4">
        <v>3</v>
      </c>
      <c r="G164" s="4"/>
      <c r="H164" s="5" t="s">
        <v>241</v>
      </c>
      <c r="I164" s="3" t="s">
        <v>68</v>
      </c>
      <c r="J164" s="85">
        <v>2</v>
      </c>
      <c r="K164" s="85"/>
      <c r="L164" s="85"/>
      <c r="M164" s="85"/>
      <c r="N164" s="85"/>
      <c r="O164" s="85"/>
      <c r="P164" s="85">
        <f>O164+N164+M164+L164+K164+J164</f>
        <v>2</v>
      </c>
      <c r="Q164" s="9">
        <v>2016</v>
      </c>
    </row>
    <row r="165" spans="1:18" ht="30">
      <c r="A165" s="4" t="s">
        <v>134</v>
      </c>
      <c r="B165" s="4">
        <v>1</v>
      </c>
      <c r="C165" s="4">
        <v>2</v>
      </c>
      <c r="D165" s="4">
        <v>2</v>
      </c>
      <c r="E165" s="4">
        <v>0</v>
      </c>
      <c r="F165" s="4">
        <v>4</v>
      </c>
      <c r="G165" s="4">
        <v>3</v>
      </c>
      <c r="H165" s="5" t="s">
        <v>186</v>
      </c>
      <c r="I165" s="3" t="s">
        <v>67</v>
      </c>
      <c r="J165" s="7">
        <v>1427</v>
      </c>
      <c r="K165" s="7">
        <v>0</v>
      </c>
      <c r="L165" s="7">
        <v>7587.3</v>
      </c>
      <c r="M165" s="7">
        <v>0</v>
      </c>
      <c r="N165" s="7">
        <v>0</v>
      </c>
      <c r="O165" s="7">
        <v>0</v>
      </c>
      <c r="P165" s="7">
        <f>O165+N165+M165+L165+K165+J165</f>
        <v>9014.3</v>
      </c>
      <c r="Q165" s="9">
        <v>2018</v>
      </c>
      <c r="R165" s="16" t="s">
        <v>384</v>
      </c>
    </row>
    <row r="166" spans="1:17" ht="15">
      <c r="A166" s="4" t="s">
        <v>134</v>
      </c>
      <c r="B166" s="4">
        <v>1</v>
      </c>
      <c r="C166" s="4">
        <v>2</v>
      </c>
      <c r="D166" s="4">
        <v>2</v>
      </c>
      <c r="E166" s="4">
        <v>0</v>
      </c>
      <c r="F166" s="4">
        <v>4</v>
      </c>
      <c r="G166" s="4"/>
      <c r="H166" s="5" t="s">
        <v>242</v>
      </c>
      <c r="I166" s="3" t="s">
        <v>68</v>
      </c>
      <c r="J166" s="85">
        <v>1</v>
      </c>
      <c r="K166" s="85"/>
      <c r="L166" s="85"/>
      <c r="M166" s="85"/>
      <c r="N166" s="85"/>
      <c r="O166" s="85"/>
      <c r="P166" s="85">
        <f>SUM(J166:O166)</f>
        <v>1</v>
      </c>
      <c r="Q166" s="9">
        <v>2016</v>
      </c>
    </row>
    <row r="167" spans="1:18" ht="22.5">
      <c r="A167" s="4" t="s">
        <v>134</v>
      </c>
      <c r="B167" s="4">
        <v>1</v>
      </c>
      <c r="C167" s="4">
        <v>2</v>
      </c>
      <c r="D167" s="4">
        <v>2</v>
      </c>
      <c r="E167" s="4">
        <v>0</v>
      </c>
      <c r="F167" s="4">
        <v>5</v>
      </c>
      <c r="G167" s="4">
        <v>3</v>
      </c>
      <c r="H167" s="5" t="s">
        <v>187</v>
      </c>
      <c r="I167" s="3" t="s">
        <v>67</v>
      </c>
      <c r="J167" s="13">
        <v>0</v>
      </c>
      <c r="K167" s="13">
        <v>0</v>
      </c>
      <c r="L167" s="13">
        <v>2000</v>
      </c>
      <c r="M167" s="13">
        <v>0</v>
      </c>
      <c r="N167" s="13">
        <v>0</v>
      </c>
      <c r="O167" s="13">
        <v>0</v>
      </c>
      <c r="P167" s="7">
        <f t="shared" si="35"/>
        <v>2000</v>
      </c>
      <c r="Q167" s="9">
        <v>2018</v>
      </c>
      <c r="R167" s="16" t="s">
        <v>384</v>
      </c>
    </row>
    <row r="168" spans="1:17" ht="15">
      <c r="A168" s="4" t="s">
        <v>134</v>
      </c>
      <c r="B168" s="4">
        <v>1</v>
      </c>
      <c r="C168" s="4">
        <v>2</v>
      </c>
      <c r="D168" s="4">
        <v>2</v>
      </c>
      <c r="E168" s="4">
        <v>0</v>
      </c>
      <c r="F168" s="4">
        <v>5</v>
      </c>
      <c r="G168" s="4"/>
      <c r="H168" s="5" t="s">
        <v>264</v>
      </c>
      <c r="I168" s="3" t="s">
        <v>68</v>
      </c>
      <c r="J168" s="85"/>
      <c r="K168" s="85"/>
      <c r="L168" s="85">
        <v>1</v>
      </c>
      <c r="M168" s="85"/>
      <c r="N168" s="85"/>
      <c r="O168" s="85"/>
      <c r="P168" s="85">
        <f t="shared" si="35"/>
        <v>1</v>
      </c>
      <c r="Q168" s="9">
        <v>2018</v>
      </c>
    </row>
    <row r="169" spans="1:18" ht="30">
      <c r="A169" s="4" t="s">
        <v>134</v>
      </c>
      <c r="B169" s="4">
        <v>1</v>
      </c>
      <c r="C169" s="4">
        <v>2</v>
      </c>
      <c r="D169" s="4">
        <v>2</v>
      </c>
      <c r="E169" s="4">
        <v>0</v>
      </c>
      <c r="F169" s="4">
        <v>6</v>
      </c>
      <c r="G169" s="4">
        <v>3</v>
      </c>
      <c r="H169" s="5" t="s">
        <v>188</v>
      </c>
      <c r="I169" s="3" t="s">
        <v>67</v>
      </c>
      <c r="J169" s="6">
        <v>992.5</v>
      </c>
      <c r="K169" s="6">
        <v>0</v>
      </c>
      <c r="L169" s="13">
        <v>10000</v>
      </c>
      <c r="M169" s="13">
        <f>10000</f>
        <v>10000</v>
      </c>
      <c r="N169" s="13">
        <v>0</v>
      </c>
      <c r="O169" s="13">
        <v>0</v>
      </c>
      <c r="P169" s="7">
        <f aca="true" t="shared" si="36" ref="P169:P177">SUM(J169:O169)</f>
        <v>20992.5</v>
      </c>
      <c r="Q169" s="9">
        <v>2019</v>
      </c>
      <c r="R169" s="16" t="s">
        <v>384</v>
      </c>
    </row>
    <row r="170" spans="1:17" ht="15">
      <c r="A170" s="4" t="s">
        <v>134</v>
      </c>
      <c r="B170" s="4">
        <v>1</v>
      </c>
      <c r="C170" s="4">
        <v>2</v>
      </c>
      <c r="D170" s="4">
        <v>2</v>
      </c>
      <c r="E170" s="4">
        <v>0</v>
      </c>
      <c r="F170" s="4">
        <v>6</v>
      </c>
      <c r="G170" s="4"/>
      <c r="H170" s="5" t="s">
        <v>264</v>
      </c>
      <c r="I170" s="3" t="s">
        <v>68</v>
      </c>
      <c r="J170" s="85">
        <v>1</v>
      </c>
      <c r="K170" s="85"/>
      <c r="L170" s="85"/>
      <c r="M170" s="85"/>
      <c r="N170" s="85"/>
      <c r="O170" s="85"/>
      <c r="P170" s="85">
        <f t="shared" si="36"/>
        <v>1</v>
      </c>
      <c r="Q170" s="9">
        <v>2016</v>
      </c>
    </row>
    <row r="171" spans="1:17" ht="15">
      <c r="A171" s="4" t="s">
        <v>134</v>
      </c>
      <c r="B171" s="4">
        <v>1</v>
      </c>
      <c r="C171" s="4">
        <v>2</v>
      </c>
      <c r="D171" s="4">
        <v>2</v>
      </c>
      <c r="E171" s="4">
        <v>0</v>
      </c>
      <c r="F171" s="4">
        <v>6</v>
      </c>
      <c r="G171" s="4"/>
      <c r="H171" s="5" t="s">
        <v>359</v>
      </c>
      <c r="I171" s="3" t="s">
        <v>66</v>
      </c>
      <c r="J171" s="7"/>
      <c r="K171" s="7">
        <v>0</v>
      </c>
      <c r="L171" s="7">
        <v>2430</v>
      </c>
      <c r="M171" s="7"/>
      <c r="N171" s="7"/>
      <c r="O171" s="7"/>
      <c r="P171" s="7">
        <f t="shared" si="36"/>
        <v>2430</v>
      </c>
      <c r="Q171" s="9">
        <v>2018</v>
      </c>
    </row>
    <row r="172" spans="1:17" ht="15">
      <c r="A172" s="4" t="s">
        <v>134</v>
      </c>
      <c r="B172" s="4">
        <v>1</v>
      </c>
      <c r="C172" s="4">
        <v>2</v>
      </c>
      <c r="D172" s="4">
        <v>2</v>
      </c>
      <c r="E172" s="4">
        <v>0</v>
      </c>
      <c r="F172" s="4">
        <v>6</v>
      </c>
      <c r="G172" s="4"/>
      <c r="H172" s="5" t="s">
        <v>247</v>
      </c>
      <c r="I172" s="3" t="s">
        <v>68</v>
      </c>
      <c r="J172" s="85"/>
      <c r="K172" s="85"/>
      <c r="L172" s="85">
        <f>1-1</f>
        <v>0</v>
      </c>
      <c r="M172" s="85">
        <v>1</v>
      </c>
      <c r="N172" s="85"/>
      <c r="O172" s="85"/>
      <c r="P172" s="85">
        <f t="shared" si="36"/>
        <v>1</v>
      </c>
      <c r="Q172" s="9">
        <v>2019</v>
      </c>
    </row>
    <row r="173" spans="1:17" ht="30">
      <c r="A173" s="4" t="s">
        <v>134</v>
      </c>
      <c r="B173" s="4">
        <v>1</v>
      </c>
      <c r="C173" s="4">
        <v>2</v>
      </c>
      <c r="D173" s="4">
        <v>2</v>
      </c>
      <c r="E173" s="4">
        <v>0</v>
      </c>
      <c r="F173" s="4">
        <v>7</v>
      </c>
      <c r="G173" s="4">
        <v>3</v>
      </c>
      <c r="H173" s="5" t="s">
        <v>189</v>
      </c>
      <c r="I173" s="3" t="s">
        <v>67</v>
      </c>
      <c r="J173" s="6">
        <v>0</v>
      </c>
      <c r="K173" s="6">
        <v>0</v>
      </c>
      <c r="L173" s="13">
        <v>0</v>
      </c>
      <c r="M173" s="13">
        <v>8000</v>
      </c>
      <c r="N173" s="13">
        <v>110000</v>
      </c>
      <c r="O173" s="13">
        <f>34000+174835</f>
        <v>208835</v>
      </c>
      <c r="P173" s="7">
        <f t="shared" si="36"/>
        <v>326835</v>
      </c>
      <c r="Q173" s="9">
        <v>2021</v>
      </c>
    </row>
    <row r="174" spans="1:17" ht="15">
      <c r="A174" s="4" t="s">
        <v>134</v>
      </c>
      <c r="B174" s="4">
        <v>1</v>
      </c>
      <c r="C174" s="4">
        <v>2</v>
      </c>
      <c r="D174" s="4">
        <v>2</v>
      </c>
      <c r="E174" s="4">
        <v>0</v>
      </c>
      <c r="F174" s="4">
        <v>7</v>
      </c>
      <c r="G174" s="4"/>
      <c r="H174" s="5" t="s">
        <v>264</v>
      </c>
      <c r="I174" s="3" t="s">
        <v>68</v>
      </c>
      <c r="J174" s="85"/>
      <c r="K174" s="85"/>
      <c r="L174" s="85"/>
      <c r="M174" s="85">
        <v>1</v>
      </c>
      <c r="N174" s="85"/>
      <c r="O174" s="85"/>
      <c r="P174" s="85">
        <f t="shared" si="36"/>
        <v>1</v>
      </c>
      <c r="Q174" s="9">
        <v>2019</v>
      </c>
    </row>
    <row r="175" spans="1:17" ht="15">
      <c r="A175" s="4" t="s">
        <v>134</v>
      </c>
      <c r="B175" s="4">
        <v>1</v>
      </c>
      <c r="C175" s="4">
        <v>2</v>
      </c>
      <c r="D175" s="4">
        <v>2</v>
      </c>
      <c r="E175" s="4">
        <v>0</v>
      </c>
      <c r="F175" s="4">
        <v>7</v>
      </c>
      <c r="G175" s="4"/>
      <c r="H175" s="5" t="s">
        <v>359</v>
      </c>
      <c r="I175" s="3" t="s">
        <v>66</v>
      </c>
      <c r="J175" s="7"/>
      <c r="K175" s="7"/>
      <c r="L175" s="7"/>
      <c r="M175" s="7"/>
      <c r="N175" s="7">
        <v>1937.6</v>
      </c>
      <c r="O175" s="7"/>
      <c r="P175" s="7">
        <f t="shared" si="36"/>
        <v>1937.6</v>
      </c>
      <c r="Q175" s="9">
        <v>2020</v>
      </c>
    </row>
    <row r="176" spans="1:17" ht="15">
      <c r="A176" s="4" t="s">
        <v>134</v>
      </c>
      <c r="B176" s="4">
        <v>1</v>
      </c>
      <c r="C176" s="4">
        <v>2</v>
      </c>
      <c r="D176" s="4">
        <v>2</v>
      </c>
      <c r="E176" s="4">
        <v>0</v>
      </c>
      <c r="F176" s="4">
        <v>7</v>
      </c>
      <c r="G176" s="4"/>
      <c r="H176" s="5" t="s">
        <v>377</v>
      </c>
      <c r="I176" s="3" t="s">
        <v>68</v>
      </c>
      <c r="J176" s="85"/>
      <c r="K176" s="85"/>
      <c r="L176" s="85"/>
      <c r="M176" s="85"/>
      <c r="N176" s="85">
        <v>1</v>
      </c>
      <c r="O176" s="85"/>
      <c r="P176" s="85">
        <f t="shared" si="36"/>
        <v>1</v>
      </c>
      <c r="Q176" s="9">
        <v>2020</v>
      </c>
    </row>
    <row r="177" spans="1:17" ht="15">
      <c r="A177" s="4" t="s">
        <v>134</v>
      </c>
      <c r="B177" s="4">
        <v>1</v>
      </c>
      <c r="C177" s="4">
        <v>2</v>
      </c>
      <c r="D177" s="4">
        <v>2</v>
      </c>
      <c r="E177" s="4">
        <v>0</v>
      </c>
      <c r="F177" s="4">
        <v>7</v>
      </c>
      <c r="G177" s="4"/>
      <c r="H177" s="5" t="s">
        <v>376</v>
      </c>
      <c r="I177" s="3" t="s">
        <v>66</v>
      </c>
      <c r="J177" s="7"/>
      <c r="K177" s="7"/>
      <c r="L177" s="7"/>
      <c r="M177" s="7"/>
      <c r="N177" s="7"/>
      <c r="O177" s="7">
        <v>5334.8</v>
      </c>
      <c r="P177" s="7">
        <f t="shared" si="36"/>
        <v>5334.8</v>
      </c>
      <c r="Q177" s="9">
        <v>2021</v>
      </c>
    </row>
    <row r="178" spans="1:17" ht="30">
      <c r="A178" s="4" t="s">
        <v>134</v>
      </c>
      <c r="B178" s="4">
        <v>1</v>
      </c>
      <c r="C178" s="4">
        <v>2</v>
      </c>
      <c r="D178" s="4">
        <v>2</v>
      </c>
      <c r="E178" s="4">
        <v>0</v>
      </c>
      <c r="F178" s="4">
        <v>8</v>
      </c>
      <c r="G178" s="4"/>
      <c r="H178" s="5" t="s">
        <v>190</v>
      </c>
      <c r="I178" s="3" t="s">
        <v>67</v>
      </c>
      <c r="J178" s="6">
        <f aca="true" t="shared" si="37" ref="J178:O178">J179+J180</f>
        <v>499.99999999999994</v>
      </c>
      <c r="K178" s="6">
        <f t="shared" si="37"/>
        <v>0</v>
      </c>
      <c r="L178" s="6">
        <f t="shared" si="37"/>
        <v>500</v>
      </c>
      <c r="M178" s="6">
        <f t="shared" si="37"/>
        <v>0</v>
      </c>
      <c r="N178" s="6">
        <f t="shared" si="37"/>
        <v>0</v>
      </c>
      <c r="O178" s="6">
        <f t="shared" si="37"/>
        <v>52466.4</v>
      </c>
      <c r="P178" s="7">
        <f aca="true" t="shared" si="38" ref="P178:P183">SUM(J178:O178)</f>
        <v>53466.4</v>
      </c>
      <c r="Q178" s="9">
        <v>2021</v>
      </c>
    </row>
    <row r="179" spans="1:17" ht="15">
      <c r="A179" s="4" t="s">
        <v>134</v>
      </c>
      <c r="B179" s="4">
        <v>1</v>
      </c>
      <c r="C179" s="4">
        <v>2</v>
      </c>
      <c r="D179" s="4">
        <v>2</v>
      </c>
      <c r="E179" s="4">
        <v>0</v>
      </c>
      <c r="F179" s="4">
        <v>8</v>
      </c>
      <c r="G179" s="4">
        <v>2</v>
      </c>
      <c r="H179" s="5" t="s">
        <v>32</v>
      </c>
      <c r="I179" s="3" t="s">
        <v>67</v>
      </c>
      <c r="J179" s="6"/>
      <c r="K179" s="6"/>
      <c r="L179" s="13"/>
      <c r="M179" s="13"/>
      <c r="N179" s="13"/>
      <c r="O179" s="13">
        <v>40000</v>
      </c>
      <c r="P179" s="7">
        <f t="shared" si="38"/>
        <v>40000</v>
      </c>
      <c r="Q179" s="9">
        <v>2021</v>
      </c>
    </row>
    <row r="180" spans="1:17" ht="15">
      <c r="A180" s="4" t="s">
        <v>134</v>
      </c>
      <c r="B180" s="4">
        <v>1</v>
      </c>
      <c r="C180" s="4">
        <v>2</v>
      </c>
      <c r="D180" s="4">
        <v>2</v>
      </c>
      <c r="E180" s="4">
        <v>0</v>
      </c>
      <c r="F180" s="4">
        <v>8</v>
      </c>
      <c r="G180" s="4">
        <v>3</v>
      </c>
      <c r="H180" s="5" t="s">
        <v>33</v>
      </c>
      <c r="I180" s="3" t="s">
        <v>67</v>
      </c>
      <c r="J180" s="6">
        <f>528.3-28.3</f>
        <v>499.99999999999994</v>
      </c>
      <c r="K180" s="6">
        <v>0</v>
      </c>
      <c r="L180" s="13">
        <v>500</v>
      </c>
      <c r="M180" s="13"/>
      <c r="N180" s="13"/>
      <c r="O180" s="13">
        <f>11966.4+1000-500</f>
        <v>12466.4</v>
      </c>
      <c r="P180" s="7">
        <f t="shared" si="38"/>
        <v>13466.4</v>
      </c>
      <c r="Q180" s="9">
        <v>2021</v>
      </c>
    </row>
    <row r="181" spans="1:17" ht="15">
      <c r="A181" s="4" t="s">
        <v>134</v>
      </c>
      <c r="B181" s="4">
        <v>1</v>
      </c>
      <c r="C181" s="4">
        <v>2</v>
      </c>
      <c r="D181" s="4">
        <v>2</v>
      </c>
      <c r="E181" s="4">
        <v>0</v>
      </c>
      <c r="F181" s="4">
        <v>8</v>
      </c>
      <c r="G181" s="4"/>
      <c r="H181" s="5" t="s">
        <v>391</v>
      </c>
      <c r="I181" s="3" t="s">
        <v>68</v>
      </c>
      <c r="J181" s="85">
        <v>1</v>
      </c>
      <c r="K181" s="85"/>
      <c r="L181" s="85"/>
      <c r="M181" s="85"/>
      <c r="N181" s="85"/>
      <c r="O181" s="85"/>
      <c r="P181" s="85">
        <f t="shared" si="38"/>
        <v>1</v>
      </c>
      <c r="Q181" s="9">
        <v>2016</v>
      </c>
    </row>
    <row r="182" spans="1:17" ht="30">
      <c r="A182" s="4" t="s">
        <v>134</v>
      </c>
      <c r="B182" s="4">
        <v>1</v>
      </c>
      <c r="C182" s="4">
        <v>2</v>
      </c>
      <c r="D182" s="4">
        <v>2</v>
      </c>
      <c r="E182" s="4">
        <v>0</v>
      </c>
      <c r="F182" s="4">
        <v>8</v>
      </c>
      <c r="G182" s="4"/>
      <c r="H182" s="5" t="s">
        <v>215</v>
      </c>
      <c r="I182" s="3" t="s">
        <v>66</v>
      </c>
      <c r="J182" s="7"/>
      <c r="K182" s="7"/>
      <c r="L182" s="7">
        <v>4008</v>
      </c>
      <c r="M182" s="7"/>
      <c r="N182" s="7"/>
      <c r="O182" s="7"/>
      <c r="P182" s="7">
        <f t="shared" si="38"/>
        <v>4008</v>
      </c>
      <c r="Q182" s="9">
        <v>2018</v>
      </c>
    </row>
    <row r="183" spans="1:17" ht="15">
      <c r="A183" s="4" t="s">
        <v>134</v>
      </c>
      <c r="B183" s="4">
        <v>1</v>
      </c>
      <c r="C183" s="4">
        <v>2</v>
      </c>
      <c r="D183" s="4">
        <v>2</v>
      </c>
      <c r="E183" s="4">
        <v>0</v>
      </c>
      <c r="F183" s="4">
        <v>8</v>
      </c>
      <c r="G183" s="4"/>
      <c r="H183" s="5" t="s">
        <v>214</v>
      </c>
      <c r="I183" s="3" t="s">
        <v>213</v>
      </c>
      <c r="J183" s="7"/>
      <c r="K183" s="7"/>
      <c r="L183" s="7"/>
      <c r="M183" s="7"/>
      <c r="N183" s="7"/>
      <c r="O183" s="7">
        <v>2888.2</v>
      </c>
      <c r="P183" s="7">
        <f t="shared" si="38"/>
        <v>2888.2</v>
      </c>
      <c r="Q183" s="9">
        <v>2021</v>
      </c>
    </row>
    <row r="184" spans="1:17" ht="45">
      <c r="A184" s="4" t="s">
        <v>134</v>
      </c>
      <c r="B184" s="4">
        <v>1</v>
      </c>
      <c r="C184" s="4">
        <v>2</v>
      </c>
      <c r="D184" s="4">
        <v>2</v>
      </c>
      <c r="E184" s="4">
        <v>0</v>
      </c>
      <c r="F184" s="4">
        <v>9</v>
      </c>
      <c r="G184" s="4"/>
      <c r="H184" s="5" t="s">
        <v>205</v>
      </c>
      <c r="I184" s="3" t="s">
        <v>67</v>
      </c>
      <c r="J184" s="6">
        <f aca="true" t="shared" si="39" ref="J184:P184">J186+J187</f>
        <v>0</v>
      </c>
      <c r="K184" s="6">
        <f t="shared" si="39"/>
        <v>0</v>
      </c>
      <c r="L184" s="6">
        <f t="shared" si="39"/>
        <v>72218.1</v>
      </c>
      <c r="M184" s="6">
        <f t="shared" si="39"/>
        <v>57568.6</v>
      </c>
      <c r="N184" s="6">
        <f t="shared" si="39"/>
        <v>0</v>
      </c>
      <c r="O184" s="6">
        <f t="shared" si="39"/>
        <v>0</v>
      </c>
      <c r="P184" s="6">
        <f t="shared" si="39"/>
        <v>129786.7</v>
      </c>
      <c r="Q184" s="9">
        <v>2019</v>
      </c>
    </row>
    <row r="185" spans="1:17" ht="15">
      <c r="A185" s="4" t="s">
        <v>134</v>
      </c>
      <c r="B185" s="4">
        <v>1</v>
      </c>
      <c r="C185" s="4">
        <v>2</v>
      </c>
      <c r="D185" s="4">
        <v>2</v>
      </c>
      <c r="E185" s="4">
        <v>0</v>
      </c>
      <c r="F185" s="4">
        <v>9</v>
      </c>
      <c r="G185" s="4">
        <v>1</v>
      </c>
      <c r="H185" s="5" t="s">
        <v>31</v>
      </c>
      <c r="I185" s="3" t="s">
        <v>67</v>
      </c>
      <c r="J185" s="6"/>
      <c r="K185" s="6"/>
      <c r="L185" s="6"/>
      <c r="M185" s="6"/>
      <c r="N185" s="6"/>
      <c r="O185" s="6"/>
      <c r="P185" s="6"/>
      <c r="Q185" s="9"/>
    </row>
    <row r="186" spans="1:17" ht="15">
      <c r="A186" s="4" t="s">
        <v>134</v>
      </c>
      <c r="B186" s="4">
        <v>1</v>
      </c>
      <c r="C186" s="4">
        <v>2</v>
      </c>
      <c r="D186" s="4">
        <v>2</v>
      </c>
      <c r="E186" s="4">
        <v>0</v>
      </c>
      <c r="F186" s="4">
        <v>9</v>
      </c>
      <c r="G186" s="4">
        <v>2</v>
      </c>
      <c r="H186" s="5" t="s">
        <v>32</v>
      </c>
      <c r="I186" s="3" t="s">
        <v>67</v>
      </c>
      <c r="J186" s="6"/>
      <c r="K186" s="6"/>
      <c r="L186" s="6">
        <v>52501.4</v>
      </c>
      <c r="M186" s="6">
        <v>52368.6</v>
      </c>
      <c r="N186" s="6"/>
      <c r="O186" s="6"/>
      <c r="P186" s="7">
        <f>SUM(J186:O186)</f>
        <v>104870</v>
      </c>
      <c r="Q186" s="9">
        <v>2019</v>
      </c>
    </row>
    <row r="187" spans="1:17" ht="15">
      <c r="A187" s="4" t="s">
        <v>134</v>
      </c>
      <c r="B187" s="4">
        <v>1</v>
      </c>
      <c r="C187" s="4">
        <v>2</v>
      </c>
      <c r="D187" s="4">
        <v>2</v>
      </c>
      <c r="E187" s="4">
        <v>0</v>
      </c>
      <c r="F187" s="4">
        <v>9</v>
      </c>
      <c r="G187" s="4">
        <v>3</v>
      </c>
      <c r="H187" s="5" t="s">
        <v>33</v>
      </c>
      <c r="I187" s="3" t="s">
        <v>67</v>
      </c>
      <c r="J187" s="6"/>
      <c r="K187" s="6"/>
      <c r="L187" s="6">
        <v>19716.7</v>
      </c>
      <c r="M187" s="6">
        <v>5200</v>
      </c>
      <c r="N187" s="6"/>
      <c r="O187" s="6"/>
      <c r="P187" s="7">
        <f>SUM(J187:O187)</f>
        <v>24916.7</v>
      </c>
      <c r="Q187" s="9">
        <v>2019</v>
      </c>
    </row>
    <row r="188" spans="1:17" ht="15">
      <c r="A188" s="4" t="s">
        <v>134</v>
      </c>
      <c r="B188" s="4">
        <v>1</v>
      </c>
      <c r="C188" s="4">
        <v>2</v>
      </c>
      <c r="D188" s="4">
        <v>2</v>
      </c>
      <c r="E188" s="4">
        <v>0</v>
      </c>
      <c r="F188" s="4">
        <v>9</v>
      </c>
      <c r="G188" s="4"/>
      <c r="H188" s="5" t="s">
        <v>20</v>
      </c>
      <c r="I188" s="3" t="s">
        <v>66</v>
      </c>
      <c r="J188" s="6"/>
      <c r="K188" s="6"/>
      <c r="L188" s="159">
        <v>22685.58</v>
      </c>
      <c r="M188" s="13"/>
      <c r="N188" s="129"/>
      <c r="O188" s="129"/>
      <c r="P188" s="89">
        <f>SUM(J188:M188)</f>
        <v>22685.58</v>
      </c>
      <c r="Q188" s="9">
        <v>2018</v>
      </c>
    </row>
    <row r="189" spans="1:17" ht="30">
      <c r="A189" s="4" t="s">
        <v>134</v>
      </c>
      <c r="B189" s="4">
        <v>1</v>
      </c>
      <c r="C189" s="4">
        <v>2</v>
      </c>
      <c r="D189" s="4">
        <v>2</v>
      </c>
      <c r="E189" s="4">
        <v>0</v>
      </c>
      <c r="F189" s="4">
        <v>9</v>
      </c>
      <c r="G189" s="4"/>
      <c r="H189" s="5" t="s">
        <v>230</v>
      </c>
      <c r="I189" s="3" t="s">
        <v>231</v>
      </c>
      <c r="J189" s="6"/>
      <c r="K189" s="6"/>
      <c r="L189" s="159"/>
      <c r="M189" s="13">
        <v>360</v>
      </c>
      <c r="N189" s="129"/>
      <c r="O189" s="129"/>
      <c r="P189" s="89">
        <f>SUM(J189:M189)</f>
        <v>360</v>
      </c>
      <c r="Q189" s="9">
        <v>2019</v>
      </c>
    </row>
    <row r="190" spans="1:17" ht="30">
      <c r="A190" s="4" t="s">
        <v>134</v>
      </c>
      <c r="B190" s="4">
        <v>1</v>
      </c>
      <c r="C190" s="4">
        <v>2</v>
      </c>
      <c r="D190" s="4">
        <v>2</v>
      </c>
      <c r="E190" s="4">
        <v>0</v>
      </c>
      <c r="F190" s="4">
        <v>9</v>
      </c>
      <c r="G190" s="4"/>
      <c r="H190" s="5" t="s">
        <v>232</v>
      </c>
      <c r="I190" s="3" t="s">
        <v>231</v>
      </c>
      <c r="J190" s="6"/>
      <c r="K190" s="6"/>
      <c r="L190" s="159"/>
      <c r="M190" s="13">
        <v>190</v>
      </c>
      <c r="N190" s="129"/>
      <c r="O190" s="129"/>
      <c r="P190" s="89">
        <f>SUM(J190:M190)</f>
        <v>190</v>
      </c>
      <c r="Q190" s="9">
        <v>2019</v>
      </c>
    </row>
    <row r="191" spans="1:17" ht="30">
      <c r="A191" s="4" t="s">
        <v>134</v>
      </c>
      <c r="B191" s="4">
        <v>1</v>
      </c>
      <c r="C191" s="4">
        <v>2</v>
      </c>
      <c r="D191" s="4">
        <v>2</v>
      </c>
      <c r="E191" s="4">
        <v>0</v>
      </c>
      <c r="F191" s="4">
        <v>9</v>
      </c>
      <c r="G191" s="4"/>
      <c r="H191" s="5" t="s">
        <v>233</v>
      </c>
      <c r="I191" s="3" t="s">
        <v>231</v>
      </c>
      <c r="J191" s="6"/>
      <c r="K191" s="6"/>
      <c r="L191" s="159"/>
      <c r="M191" s="13">
        <v>14</v>
      </c>
      <c r="N191" s="129"/>
      <c r="O191" s="129"/>
      <c r="P191" s="89">
        <f>SUM(J191:M191)</f>
        <v>14</v>
      </c>
      <c r="Q191" s="9">
        <v>2019</v>
      </c>
    </row>
    <row r="192" spans="1:17" ht="30">
      <c r="A192" s="4" t="s">
        <v>134</v>
      </c>
      <c r="B192" s="4">
        <v>1</v>
      </c>
      <c r="C192" s="4">
        <v>2</v>
      </c>
      <c r="D192" s="4">
        <v>2</v>
      </c>
      <c r="E192" s="4">
        <v>1</v>
      </c>
      <c r="F192" s="4">
        <v>0</v>
      </c>
      <c r="G192" s="4">
        <v>3</v>
      </c>
      <c r="H192" s="5" t="s">
        <v>172</v>
      </c>
      <c r="I192" s="3" t="s">
        <v>67</v>
      </c>
      <c r="J192" s="6">
        <v>0</v>
      </c>
      <c r="K192" s="6">
        <v>665.6</v>
      </c>
      <c r="L192" s="6">
        <v>90.1</v>
      </c>
      <c r="M192" s="6">
        <v>0</v>
      </c>
      <c r="N192" s="6">
        <v>0</v>
      </c>
      <c r="O192" s="6">
        <v>0</v>
      </c>
      <c r="P192" s="7">
        <f>SUM(J192:O192)</f>
        <v>755.7</v>
      </c>
      <c r="Q192" s="9">
        <v>2018</v>
      </c>
    </row>
    <row r="193" spans="1:17" ht="15">
      <c r="A193" s="4" t="s">
        <v>134</v>
      </c>
      <c r="B193" s="4">
        <v>1</v>
      </c>
      <c r="C193" s="4">
        <v>2</v>
      </c>
      <c r="D193" s="4">
        <v>2</v>
      </c>
      <c r="E193" s="4">
        <v>1</v>
      </c>
      <c r="F193" s="4">
        <v>0</v>
      </c>
      <c r="G193" s="4"/>
      <c r="H193" s="5" t="s">
        <v>340</v>
      </c>
      <c r="I193" s="3" t="s">
        <v>350</v>
      </c>
      <c r="J193" s="6"/>
      <c r="K193" s="8">
        <v>23.15</v>
      </c>
      <c r="L193" s="159"/>
      <c r="M193" s="159"/>
      <c r="N193" s="159"/>
      <c r="O193" s="159"/>
      <c r="P193" s="89">
        <f>SUM(J193:O193)</f>
        <v>23.15</v>
      </c>
      <c r="Q193" s="9">
        <v>2017</v>
      </c>
    </row>
    <row r="194" spans="1:17" ht="15">
      <c r="A194" s="4" t="s">
        <v>134</v>
      </c>
      <c r="B194" s="4">
        <v>1</v>
      </c>
      <c r="C194" s="4">
        <v>2</v>
      </c>
      <c r="D194" s="4">
        <v>2</v>
      </c>
      <c r="E194" s="4">
        <v>1</v>
      </c>
      <c r="F194" s="4">
        <v>0</v>
      </c>
      <c r="G194" s="4"/>
      <c r="H194" s="5" t="s">
        <v>319</v>
      </c>
      <c r="I194" s="3" t="s">
        <v>66</v>
      </c>
      <c r="J194" s="80"/>
      <c r="K194" s="105"/>
      <c r="L194" s="159">
        <v>64</v>
      </c>
      <c r="M194" s="131"/>
      <c r="N194" s="131"/>
      <c r="O194" s="131"/>
      <c r="P194" s="89">
        <f>SUM(J194:O194)</f>
        <v>64</v>
      </c>
      <c r="Q194" s="9">
        <v>2018</v>
      </c>
    </row>
    <row r="195" spans="1:17" ht="14.25">
      <c r="A195" s="78" t="s">
        <v>134</v>
      </c>
      <c r="B195" s="78">
        <v>1</v>
      </c>
      <c r="C195" s="78">
        <v>3</v>
      </c>
      <c r="D195" s="78">
        <v>0</v>
      </c>
      <c r="E195" s="78">
        <v>0</v>
      </c>
      <c r="F195" s="78">
        <v>0</v>
      </c>
      <c r="G195" s="78"/>
      <c r="H195" s="60" t="s">
        <v>325</v>
      </c>
      <c r="I195" s="61" t="s">
        <v>67</v>
      </c>
      <c r="J195" s="80">
        <f>J196</f>
        <v>1105.6000000000001</v>
      </c>
      <c r="K195" s="80">
        <f aca="true" t="shared" si="40" ref="K195:P195">K196</f>
        <v>7621</v>
      </c>
      <c r="L195" s="80">
        <f t="shared" si="40"/>
        <v>1000</v>
      </c>
      <c r="M195" s="80">
        <f t="shared" si="40"/>
        <v>5180</v>
      </c>
      <c r="N195" s="80">
        <f t="shared" si="40"/>
        <v>5180</v>
      </c>
      <c r="O195" s="80">
        <f t="shared" si="40"/>
        <v>5356.1</v>
      </c>
      <c r="P195" s="80">
        <f t="shared" si="40"/>
        <v>25442.699999999997</v>
      </c>
      <c r="Q195" s="62">
        <v>2021</v>
      </c>
    </row>
    <row r="196" spans="1:17" ht="15">
      <c r="A196" s="4" t="s">
        <v>134</v>
      </c>
      <c r="B196" s="4">
        <v>1</v>
      </c>
      <c r="C196" s="4">
        <v>3</v>
      </c>
      <c r="D196" s="4">
        <v>0</v>
      </c>
      <c r="E196" s="4">
        <v>0</v>
      </c>
      <c r="F196" s="4">
        <v>0</v>
      </c>
      <c r="G196" s="4">
        <v>3</v>
      </c>
      <c r="H196" s="5" t="s">
        <v>33</v>
      </c>
      <c r="I196" s="3" t="s">
        <v>67</v>
      </c>
      <c r="J196" s="6">
        <f>J198</f>
        <v>1105.6000000000001</v>
      </c>
      <c r="K196" s="6">
        <f aca="true" t="shared" si="41" ref="K196:P196">K198</f>
        <v>7621</v>
      </c>
      <c r="L196" s="6">
        <f t="shared" si="41"/>
        <v>1000</v>
      </c>
      <c r="M196" s="6">
        <f t="shared" si="41"/>
        <v>5180</v>
      </c>
      <c r="N196" s="6">
        <f t="shared" si="41"/>
        <v>5180</v>
      </c>
      <c r="O196" s="6">
        <f t="shared" si="41"/>
        <v>5356.1</v>
      </c>
      <c r="P196" s="6">
        <f t="shared" si="41"/>
        <v>25442.699999999997</v>
      </c>
      <c r="Q196" s="9">
        <v>2021</v>
      </c>
    </row>
    <row r="197" spans="1:17" ht="30">
      <c r="A197" s="4" t="s">
        <v>134</v>
      </c>
      <c r="B197" s="4">
        <v>1</v>
      </c>
      <c r="C197" s="4">
        <v>3</v>
      </c>
      <c r="D197" s="4">
        <v>1</v>
      </c>
      <c r="E197" s="4">
        <v>0</v>
      </c>
      <c r="F197" s="4">
        <v>0</v>
      </c>
      <c r="G197" s="4"/>
      <c r="H197" s="5" t="s">
        <v>126</v>
      </c>
      <c r="I197" s="3" t="s">
        <v>67</v>
      </c>
      <c r="J197" s="7">
        <f>J198</f>
        <v>1105.6000000000001</v>
      </c>
      <c r="K197" s="7">
        <f aca="true" t="shared" si="42" ref="K197:P197">K198</f>
        <v>7621</v>
      </c>
      <c r="L197" s="7">
        <f t="shared" si="42"/>
        <v>1000</v>
      </c>
      <c r="M197" s="7">
        <f t="shared" si="42"/>
        <v>5180</v>
      </c>
      <c r="N197" s="7">
        <f t="shared" si="42"/>
        <v>5180</v>
      </c>
      <c r="O197" s="7">
        <f t="shared" si="42"/>
        <v>5356.1</v>
      </c>
      <c r="P197" s="7">
        <f t="shared" si="42"/>
        <v>25442.699999999997</v>
      </c>
      <c r="Q197" s="9">
        <v>2021</v>
      </c>
    </row>
    <row r="198" spans="1:17" ht="15">
      <c r="A198" s="4" t="s">
        <v>134</v>
      </c>
      <c r="B198" s="4">
        <v>1</v>
      </c>
      <c r="C198" s="4">
        <v>3</v>
      </c>
      <c r="D198" s="4">
        <v>1</v>
      </c>
      <c r="E198" s="4">
        <v>0</v>
      </c>
      <c r="F198" s="4">
        <v>0</v>
      </c>
      <c r="G198" s="4">
        <v>3</v>
      </c>
      <c r="H198" s="5" t="s">
        <v>33</v>
      </c>
      <c r="I198" s="3" t="s">
        <v>67</v>
      </c>
      <c r="J198" s="7">
        <f aca="true" t="shared" si="43" ref="J198:O198">J201+J203</f>
        <v>1105.6000000000001</v>
      </c>
      <c r="K198" s="7">
        <f t="shared" si="43"/>
        <v>7621</v>
      </c>
      <c r="L198" s="7">
        <f t="shared" si="43"/>
        <v>1000</v>
      </c>
      <c r="M198" s="7">
        <f t="shared" si="43"/>
        <v>5180</v>
      </c>
      <c r="N198" s="7">
        <f t="shared" si="43"/>
        <v>5180</v>
      </c>
      <c r="O198" s="7">
        <f t="shared" si="43"/>
        <v>5356.1</v>
      </c>
      <c r="P198" s="7">
        <f>SUM(J198:O198)</f>
        <v>25442.699999999997</v>
      </c>
      <c r="Q198" s="9">
        <v>2021</v>
      </c>
    </row>
    <row r="199" spans="1:17" ht="30">
      <c r="A199" s="4" t="s">
        <v>134</v>
      </c>
      <c r="B199" s="4">
        <v>1</v>
      </c>
      <c r="C199" s="4">
        <v>3</v>
      </c>
      <c r="D199" s="4">
        <v>1</v>
      </c>
      <c r="E199" s="4">
        <v>0</v>
      </c>
      <c r="F199" s="4">
        <v>0</v>
      </c>
      <c r="G199" s="4"/>
      <c r="H199" s="5" t="s">
        <v>346</v>
      </c>
      <c r="I199" s="3" t="s">
        <v>69</v>
      </c>
      <c r="J199" s="15">
        <f>расчет_показ!E101</f>
        <v>22.169811320754718</v>
      </c>
      <c r="K199" s="15">
        <f>расчет_показ!F101</f>
        <v>4.716981132075472</v>
      </c>
      <c r="L199" s="7">
        <f>расчет_показ!G101</f>
        <v>4.368932038834951</v>
      </c>
      <c r="M199" s="15">
        <f>расчет_показ!H101</f>
        <v>3.3980582524271843</v>
      </c>
      <c r="N199" s="15">
        <f>расчет_показ!I101</f>
        <v>2.4271844660194173</v>
      </c>
      <c r="O199" s="15">
        <f>расчет_показ!J101</f>
        <v>1.4563106796116505</v>
      </c>
      <c r="P199" s="15">
        <f>O199</f>
        <v>1.4563106796116505</v>
      </c>
      <c r="Q199" s="9">
        <v>2021</v>
      </c>
    </row>
    <row r="200" spans="1:17" ht="30">
      <c r="A200" s="4" t="s">
        <v>134</v>
      </c>
      <c r="B200" s="4">
        <v>1</v>
      </c>
      <c r="C200" s="4">
        <v>3</v>
      </c>
      <c r="D200" s="4">
        <v>1</v>
      </c>
      <c r="E200" s="4">
        <v>0</v>
      </c>
      <c r="F200" s="4">
        <v>0</v>
      </c>
      <c r="G200" s="4"/>
      <c r="H200" s="5" t="s">
        <v>113</v>
      </c>
      <c r="I200" s="3" t="s">
        <v>71</v>
      </c>
      <c r="J200" s="15">
        <f>расчет_показ!E104</f>
        <v>16.666666666666664</v>
      </c>
      <c r="K200" s="15">
        <f>расчет_показ!F104</f>
        <v>100</v>
      </c>
      <c r="L200" s="7">
        <f>расчет_показ!G104</f>
        <v>100</v>
      </c>
      <c r="M200" s="15">
        <f>расчет_показ!H104</f>
        <v>100</v>
      </c>
      <c r="N200" s="15">
        <f>расчет_показ!I104</f>
        <v>100</v>
      </c>
      <c r="O200" s="15">
        <f>расчет_показ!J104</f>
        <v>100</v>
      </c>
      <c r="P200" s="15">
        <f>O200</f>
        <v>100</v>
      </c>
      <c r="Q200" s="9">
        <v>2021</v>
      </c>
    </row>
    <row r="201" spans="1:18" ht="33.75">
      <c r="A201" s="4" t="s">
        <v>134</v>
      </c>
      <c r="B201" s="4">
        <v>1</v>
      </c>
      <c r="C201" s="4">
        <v>3</v>
      </c>
      <c r="D201" s="4">
        <v>1</v>
      </c>
      <c r="E201" s="4">
        <v>0</v>
      </c>
      <c r="F201" s="4">
        <v>1</v>
      </c>
      <c r="G201" s="4">
        <v>3</v>
      </c>
      <c r="H201" s="5" t="s">
        <v>327</v>
      </c>
      <c r="I201" s="3" t="s">
        <v>67</v>
      </c>
      <c r="J201" s="6">
        <v>0</v>
      </c>
      <c r="K201" s="6">
        <v>1800</v>
      </c>
      <c r="L201" s="6">
        <v>0</v>
      </c>
      <c r="M201" s="48">
        <v>0</v>
      </c>
      <c r="N201" s="48">
        <v>0</v>
      </c>
      <c r="O201" s="48">
        <v>0</v>
      </c>
      <c r="P201" s="7">
        <f>SUM(J201:O201)</f>
        <v>1800</v>
      </c>
      <c r="Q201" s="9">
        <v>2017</v>
      </c>
      <c r="R201" s="16" t="s">
        <v>385</v>
      </c>
    </row>
    <row r="202" spans="1:17" ht="15">
      <c r="A202" s="4" t="s">
        <v>134</v>
      </c>
      <c r="B202" s="4">
        <v>1</v>
      </c>
      <c r="C202" s="4">
        <v>3</v>
      </c>
      <c r="D202" s="4">
        <v>1</v>
      </c>
      <c r="E202" s="4">
        <v>0</v>
      </c>
      <c r="F202" s="4">
        <v>1</v>
      </c>
      <c r="G202" s="4"/>
      <c r="H202" s="5" t="s">
        <v>35</v>
      </c>
      <c r="I202" s="3" t="s">
        <v>211</v>
      </c>
      <c r="J202" s="15"/>
      <c r="K202" s="27">
        <v>1</v>
      </c>
      <c r="L202" s="7"/>
      <c r="M202" s="15"/>
      <c r="N202" s="15"/>
      <c r="O202" s="15"/>
      <c r="P202" s="7">
        <f>SUM(J202:O202)</f>
        <v>1</v>
      </c>
      <c r="Q202" s="9">
        <v>2017</v>
      </c>
    </row>
    <row r="203" spans="1:18" ht="33.75">
      <c r="A203" s="4" t="s">
        <v>134</v>
      </c>
      <c r="B203" s="4">
        <v>1</v>
      </c>
      <c r="C203" s="4">
        <v>3</v>
      </c>
      <c r="D203" s="4">
        <v>1</v>
      </c>
      <c r="E203" s="4">
        <v>0</v>
      </c>
      <c r="F203" s="4">
        <v>2</v>
      </c>
      <c r="G203" s="4">
        <v>3</v>
      </c>
      <c r="H203" s="5" t="s">
        <v>45</v>
      </c>
      <c r="I203" s="3" t="s">
        <v>67</v>
      </c>
      <c r="J203" s="6">
        <f>200+834.9+100+71.2+0.1-100.6-0.1+0.1</f>
        <v>1105.6000000000001</v>
      </c>
      <c r="K203" s="6">
        <f>33649.5-2350+(-15566.3)-0.1-10380.1+99.4+33.6+334.9+0.1</f>
        <v>5821</v>
      </c>
      <c r="L203" s="6">
        <f>5000-4000</f>
        <v>1000</v>
      </c>
      <c r="M203" s="6">
        <v>5180</v>
      </c>
      <c r="N203" s="6">
        <v>5180</v>
      </c>
      <c r="O203" s="88">
        <f>ROUND((N203*103.4/100),1)</f>
        <v>5356.1</v>
      </c>
      <c r="P203" s="7">
        <f>SUM(J203:O203)</f>
        <v>23642.699999999997</v>
      </c>
      <c r="Q203" s="9">
        <v>2021</v>
      </c>
      <c r="R203" s="16" t="s">
        <v>385</v>
      </c>
    </row>
    <row r="204" spans="1:18" ht="15">
      <c r="A204" s="4" t="s">
        <v>134</v>
      </c>
      <c r="B204" s="4">
        <v>1</v>
      </c>
      <c r="C204" s="4">
        <v>3</v>
      </c>
      <c r="D204" s="4">
        <v>1</v>
      </c>
      <c r="E204" s="4">
        <v>0</v>
      </c>
      <c r="F204" s="4">
        <v>2</v>
      </c>
      <c r="G204" s="4"/>
      <c r="H204" s="5" t="s">
        <v>373</v>
      </c>
      <c r="I204" s="3" t="s">
        <v>68</v>
      </c>
      <c r="J204" s="85">
        <v>4</v>
      </c>
      <c r="K204" s="85">
        <v>2</v>
      </c>
      <c r="L204" s="85">
        <v>1</v>
      </c>
      <c r="M204" s="85">
        <v>2</v>
      </c>
      <c r="N204" s="85">
        <v>2</v>
      </c>
      <c r="O204" s="85">
        <v>2</v>
      </c>
      <c r="P204" s="85">
        <f>SUM(J204:O204)</f>
        <v>13</v>
      </c>
      <c r="Q204" s="9">
        <v>2021</v>
      </c>
      <c r="R204" s="16" t="s">
        <v>166</v>
      </c>
    </row>
    <row r="205" spans="1:17" ht="15">
      <c r="A205" s="4" t="s">
        <v>134</v>
      </c>
      <c r="B205" s="4">
        <v>1</v>
      </c>
      <c r="C205" s="4">
        <v>3</v>
      </c>
      <c r="D205" s="4">
        <v>2</v>
      </c>
      <c r="E205" s="4">
        <v>0</v>
      </c>
      <c r="F205" s="4">
        <v>0</v>
      </c>
      <c r="G205" s="4"/>
      <c r="H205" s="5" t="s">
        <v>324</v>
      </c>
      <c r="I205" s="4" t="s">
        <v>56</v>
      </c>
      <c r="J205" s="7" t="s">
        <v>70</v>
      </c>
      <c r="K205" s="7" t="s">
        <v>70</v>
      </c>
      <c r="L205" s="7" t="s">
        <v>70</v>
      </c>
      <c r="M205" s="7" t="s">
        <v>70</v>
      </c>
      <c r="N205" s="7" t="s">
        <v>70</v>
      </c>
      <c r="O205" s="7" t="s">
        <v>70</v>
      </c>
      <c r="P205" s="7" t="s">
        <v>70</v>
      </c>
      <c r="Q205" s="9">
        <v>2021</v>
      </c>
    </row>
    <row r="206" spans="1:18" ht="33.75">
      <c r="A206" s="4" t="s">
        <v>134</v>
      </c>
      <c r="B206" s="4">
        <v>1</v>
      </c>
      <c r="C206" s="4">
        <v>3</v>
      </c>
      <c r="D206" s="4">
        <v>2</v>
      </c>
      <c r="E206" s="4">
        <v>0</v>
      </c>
      <c r="F206" s="4">
        <v>0</v>
      </c>
      <c r="G206" s="4"/>
      <c r="H206" s="5" t="s">
        <v>374</v>
      </c>
      <c r="I206" s="3" t="s">
        <v>66</v>
      </c>
      <c r="J206" s="8">
        <f>расчет_показ!E107</f>
        <v>0.19954307636767266</v>
      </c>
      <c r="K206" s="8">
        <f>расчет_показ!F107</f>
        <v>0.242943312378062</v>
      </c>
      <c r="L206" s="6">
        <f>расчет_показ!G107</f>
        <v>0.31153333876974093</v>
      </c>
      <c r="M206" s="8">
        <f>расчет_показ!H107</f>
        <v>0.33365888258402443</v>
      </c>
      <c r="N206" s="8">
        <f>расчет_показ!I107</f>
        <v>0.37292442497261774</v>
      </c>
      <c r="O206" s="8">
        <f>расчет_показ!J107</f>
        <v>0.4945788431933143</v>
      </c>
      <c r="P206" s="8">
        <f>O206</f>
        <v>0.4945788431933143</v>
      </c>
      <c r="Q206" s="9">
        <v>2021</v>
      </c>
      <c r="R206" s="16" t="s">
        <v>152</v>
      </c>
    </row>
    <row r="207" spans="1:17" ht="30">
      <c r="A207" s="4" t="s">
        <v>134</v>
      </c>
      <c r="B207" s="4">
        <v>1</v>
      </c>
      <c r="C207" s="4">
        <v>3</v>
      </c>
      <c r="D207" s="4">
        <v>2</v>
      </c>
      <c r="E207" s="4">
        <v>0</v>
      </c>
      <c r="F207" s="4">
        <v>0</v>
      </c>
      <c r="G207" s="4"/>
      <c r="H207" s="5" t="s">
        <v>12</v>
      </c>
      <c r="I207" s="3" t="s">
        <v>29</v>
      </c>
      <c r="J207" s="24">
        <f>расчет_показ!E110</f>
        <v>1.0776500762437429</v>
      </c>
      <c r="K207" s="24">
        <f>расчет_показ!F110</f>
        <v>2.4929546932581834</v>
      </c>
      <c r="L207" s="24">
        <f>расчет_показ!G110</f>
        <v>0.9785533719318275</v>
      </c>
      <c r="M207" s="24">
        <f>расчет_показ!H110</f>
        <v>0.9821038847664775</v>
      </c>
      <c r="N207" s="24">
        <f>расчет_показ!I110</f>
        <v>0.9857612267250822</v>
      </c>
      <c r="O207" s="24">
        <f>расчет_показ!J110</f>
        <v>0.9896635144051023</v>
      </c>
      <c r="P207" s="24">
        <f>O207</f>
        <v>0.9896635144051023</v>
      </c>
      <c r="Q207" s="9">
        <v>2021</v>
      </c>
    </row>
    <row r="208" spans="1:17" ht="30">
      <c r="A208" s="4" t="s">
        <v>134</v>
      </c>
      <c r="B208" s="4">
        <v>1</v>
      </c>
      <c r="C208" s="4">
        <v>3</v>
      </c>
      <c r="D208" s="4">
        <v>2</v>
      </c>
      <c r="E208" s="4">
        <v>0</v>
      </c>
      <c r="F208" s="4">
        <v>1</v>
      </c>
      <c r="G208" s="4"/>
      <c r="H208" s="5" t="s">
        <v>294</v>
      </c>
      <c r="I208" s="4" t="s">
        <v>56</v>
      </c>
      <c r="J208" s="82" t="s">
        <v>70</v>
      </c>
      <c r="K208" s="82" t="s">
        <v>70</v>
      </c>
      <c r="L208" s="82" t="s">
        <v>70</v>
      </c>
      <c r="M208" s="82" t="s">
        <v>70</v>
      </c>
      <c r="N208" s="82" t="s">
        <v>70</v>
      </c>
      <c r="O208" s="82" t="s">
        <v>70</v>
      </c>
      <c r="P208" s="7" t="s">
        <v>70</v>
      </c>
      <c r="Q208" s="9">
        <v>2021</v>
      </c>
    </row>
    <row r="209" spans="1:17" ht="30">
      <c r="A209" s="4" t="s">
        <v>134</v>
      </c>
      <c r="B209" s="4">
        <v>1</v>
      </c>
      <c r="C209" s="4">
        <v>3</v>
      </c>
      <c r="D209" s="4">
        <v>2</v>
      </c>
      <c r="E209" s="4">
        <v>0</v>
      </c>
      <c r="F209" s="4">
        <v>1</v>
      </c>
      <c r="G209" s="4"/>
      <c r="H209" s="5" t="s">
        <v>257</v>
      </c>
      <c r="I209" s="39" t="s">
        <v>68</v>
      </c>
      <c r="J209" s="86">
        <v>1</v>
      </c>
      <c r="K209" s="86">
        <v>1</v>
      </c>
      <c r="L209" s="85">
        <v>1</v>
      </c>
      <c r="M209" s="85">
        <v>1</v>
      </c>
      <c r="N209" s="85">
        <v>1</v>
      </c>
      <c r="O209" s="85">
        <v>1</v>
      </c>
      <c r="P209" s="94">
        <f>SUM(J209:O209)</f>
        <v>6</v>
      </c>
      <c r="Q209" s="9">
        <v>2021</v>
      </c>
    </row>
    <row r="210" spans="1:17" ht="30">
      <c r="A210" s="4" t="s">
        <v>134</v>
      </c>
      <c r="B210" s="4">
        <v>1</v>
      </c>
      <c r="C210" s="4">
        <v>3</v>
      </c>
      <c r="D210" s="4">
        <v>2</v>
      </c>
      <c r="E210" s="4">
        <v>0</v>
      </c>
      <c r="F210" s="4">
        <v>2</v>
      </c>
      <c r="G210" s="4"/>
      <c r="H210" s="5" t="s">
        <v>295</v>
      </c>
      <c r="I210" s="83" t="s">
        <v>56</v>
      </c>
      <c r="J210" s="27" t="s">
        <v>70</v>
      </c>
      <c r="K210" s="27" t="s">
        <v>70</v>
      </c>
      <c r="L210" s="7" t="s">
        <v>70</v>
      </c>
      <c r="M210" s="27" t="s">
        <v>70</v>
      </c>
      <c r="N210" s="27" t="s">
        <v>70</v>
      </c>
      <c r="O210" s="27" t="s">
        <v>70</v>
      </c>
      <c r="P210" s="95" t="s">
        <v>70</v>
      </c>
      <c r="Q210" s="9">
        <v>2021</v>
      </c>
    </row>
    <row r="211" spans="1:17" ht="30">
      <c r="A211" s="4" t="s">
        <v>134</v>
      </c>
      <c r="B211" s="4">
        <v>1</v>
      </c>
      <c r="C211" s="4">
        <v>3</v>
      </c>
      <c r="D211" s="4">
        <v>2</v>
      </c>
      <c r="E211" s="4">
        <v>0</v>
      </c>
      <c r="F211" s="4">
        <v>2</v>
      </c>
      <c r="G211" s="4"/>
      <c r="H211" s="5" t="s">
        <v>256</v>
      </c>
      <c r="I211" s="39" t="s">
        <v>68</v>
      </c>
      <c r="J211" s="85">
        <v>500</v>
      </c>
      <c r="K211" s="85">
        <v>450</v>
      </c>
      <c r="L211" s="85">
        <v>450</v>
      </c>
      <c r="M211" s="85">
        <v>450</v>
      </c>
      <c r="N211" s="85">
        <v>450</v>
      </c>
      <c r="O211" s="85">
        <v>450</v>
      </c>
      <c r="P211" s="94">
        <f>SUM(J211:O211)</f>
        <v>2750</v>
      </c>
      <c r="Q211" s="9">
        <v>2021</v>
      </c>
    </row>
    <row r="212" spans="1:17" ht="45">
      <c r="A212" s="4" t="s">
        <v>134</v>
      </c>
      <c r="B212" s="4">
        <v>1</v>
      </c>
      <c r="C212" s="4">
        <v>3</v>
      </c>
      <c r="D212" s="4">
        <v>2</v>
      </c>
      <c r="E212" s="4">
        <v>0</v>
      </c>
      <c r="F212" s="4">
        <v>3</v>
      </c>
      <c r="G212" s="4"/>
      <c r="H212" s="5" t="s">
        <v>296</v>
      </c>
      <c r="I212" s="83" t="s">
        <v>56</v>
      </c>
      <c r="J212" s="27" t="s">
        <v>70</v>
      </c>
      <c r="K212" s="27" t="s">
        <v>70</v>
      </c>
      <c r="L212" s="7" t="s">
        <v>70</v>
      </c>
      <c r="M212" s="27" t="s">
        <v>70</v>
      </c>
      <c r="N212" s="27" t="s">
        <v>70</v>
      </c>
      <c r="O212" s="27" t="s">
        <v>70</v>
      </c>
      <c r="P212" s="95" t="s">
        <v>70</v>
      </c>
      <c r="Q212" s="9">
        <v>2021</v>
      </c>
    </row>
    <row r="213" spans="1:17" ht="45">
      <c r="A213" s="4" t="s">
        <v>134</v>
      </c>
      <c r="B213" s="4">
        <v>1</v>
      </c>
      <c r="C213" s="4">
        <v>3</v>
      </c>
      <c r="D213" s="4">
        <v>2</v>
      </c>
      <c r="E213" s="4">
        <v>0</v>
      </c>
      <c r="F213" s="4">
        <v>3</v>
      </c>
      <c r="G213" s="4"/>
      <c r="H213" s="5" t="s">
        <v>255</v>
      </c>
      <c r="I213" s="39" t="s">
        <v>68</v>
      </c>
      <c r="J213" s="85">
        <v>5</v>
      </c>
      <c r="K213" s="85">
        <v>18</v>
      </c>
      <c r="L213" s="85">
        <v>20</v>
      </c>
      <c r="M213" s="85">
        <v>20</v>
      </c>
      <c r="N213" s="85">
        <v>20</v>
      </c>
      <c r="O213" s="85">
        <v>20</v>
      </c>
      <c r="P213" s="94">
        <f>SUM(J213:O213)</f>
        <v>103</v>
      </c>
      <c r="Q213" s="9">
        <v>2021</v>
      </c>
    </row>
    <row r="214" spans="1:17" ht="30">
      <c r="A214" s="4" t="s">
        <v>134</v>
      </c>
      <c r="B214" s="4">
        <v>1</v>
      </c>
      <c r="C214" s="4">
        <v>3</v>
      </c>
      <c r="D214" s="4">
        <v>2</v>
      </c>
      <c r="E214" s="4">
        <v>0</v>
      </c>
      <c r="F214" s="4">
        <v>4</v>
      </c>
      <c r="G214" s="4"/>
      <c r="H214" s="5" t="s">
        <v>297</v>
      </c>
      <c r="I214" s="4" t="s">
        <v>56</v>
      </c>
      <c r="J214" s="27" t="s">
        <v>70</v>
      </c>
      <c r="K214" s="27" t="s">
        <v>70</v>
      </c>
      <c r="L214" s="7" t="s">
        <v>70</v>
      </c>
      <c r="M214" s="27" t="s">
        <v>70</v>
      </c>
      <c r="N214" s="27" t="s">
        <v>70</v>
      </c>
      <c r="O214" s="27" t="s">
        <v>70</v>
      </c>
      <c r="P214" s="7" t="s">
        <v>70</v>
      </c>
      <c r="Q214" s="9">
        <v>2021</v>
      </c>
    </row>
    <row r="215" spans="1:17" ht="30">
      <c r="A215" s="4" t="s">
        <v>134</v>
      </c>
      <c r="B215" s="4">
        <v>1</v>
      </c>
      <c r="C215" s="4">
        <v>3</v>
      </c>
      <c r="D215" s="4">
        <v>2</v>
      </c>
      <c r="E215" s="4">
        <v>0</v>
      </c>
      <c r="F215" s="4">
        <v>4</v>
      </c>
      <c r="G215" s="4"/>
      <c r="H215" s="5" t="s">
        <v>254</v>
      </c>
      <c r="I215" s="3" t="s">
        <v>68</v>
      </c>
      <c r="J215" s="86">
        <v>150</v>
      </c>
      <c r="K215" s="86">
        <v>63</v>
      </c>
      <c r="L215" s="85">
        <v>60</v>
      </c>
      <c r="M215" s="85">
        <v>60</v>
      </c>
      <c r="N215" s="85">
        <v>60</v>
      </c>
      <c r="O215" s="85">
        <v>60</v>
      </c>
      <c r="P215" s="85">
        <f>SUM(J215:O215)</f>
        <v>453</v>
      </c>
      <c r="Q215" s="9">
        <v>2021</v>
      </c>
    </row>
    <row r="216" spans="1:17" ht="30">
      <c r="A216" s="4" t="s">
        <v>134</v>
      </c>
      <c r="B216" s="4">
        <v>1</v>
      </c>
      <c r="C216" s="4">
        <v>3</v>
      </c>
      <c r="D216" s="4">
        <v>2</v>
      </c>
      <c r="E216" s="4">
        <v>0</v>
      </c>
      <c r="F216" s="4">
        <v>5</v>
      </c>
      <c r="G216" s="4"/>
      <c r="H216" s="5" t="s">
        <v>298</v>
      </c>
      <c r="I216" s="4" t="s">
        <v>56</v>
      </c>
      <c r="J216" s="27" t="s">
        <v>70</v>
      </c>
      <c r="K216" s="27" t="s">
        <v>70</v>
      </c>
      <c r="L216" s="7" t="s">
        <v>70</v>
      </c>
      <c r="M216" s="27" t="s">
        <v>70</v>
      </c>
      <c r="N216" s="27" t="s">
        <v>70</v>
      </c>
      <c r="O216" s="27" t="s">
        <v>70</v>
      </c>
      <c r="P216" s="7" t="s">
        <v>70</v>
      </c>
      <c r="Q216" s="9">
        <v>2021</v>
      </c>
    </row>
    <row r="217" spans="1:17" ht="45">
      <c r="A217" s="4" t="s">
        <v>134</v>
      </c>
      <c r="B217" s="4">
        <v>1</v>
      </c>
      <c r="C217" s="4">
        <v>3</v>
      </c>
      <c r="D217" s="4">
        <v>2</v>
      </c>
      <c r="E217" s="4">
        <v>0</v>
      </c>
      <c r="F217" s="4">
        <v>5</v>
      </c>
      <c r="G217" s="4"/>
      <c r="H217" s="5" t="s">
        <v>401</v>
      </c>
      <c r="I217" s="3" t="s">
        <v>68</v>
      </c>
      <c r="J217" s="85">
        <v>1</v>
      </c>
      <c r="K217" s="85">
        <v>4</v>
      </c>
      <c r="L217" s="85">
        <v>5</v>
      </c>
      <c r="M217" s="85">
        <v>5</v>
      </c>
      <c r="N217" s="85">
        <v>5</v>
      </c>
      <c r="O217" s="85">
        <v>5</v>
      </c>
      <c r="P217" s="85">
        <f>SUM(J217:O217)</f>
        <v>25</v>
      </c>
      <c r="Q217" s="9">
        <v>2021</v>
      </c>
    </row>
    <row r="218" spans="1:17" ht="30">
      <c r="A218" s="4" t="s">
        <v>134</v>
      </c>
      <c r="B218" s="4">
        <v>1</v>
      </c>
      <c r="C218" s="4">
        <v>3</v>
      </c>
      <c r="D218" s="4">
        <v>2</v>
      </c>
      <c r="E218" s="4">
        <v>0</v>
      </c>
      <c r="F218" s="4">
        <v>6</v>
      </c>
      <c r="G218" s="4"/>
      <c r="H218" s="5" t="s">
        <v>299</v>
      </c>
      <c r="I218" s="4" t="s">
        <v>56</v>
      </c>
      <c r="J218" s="27" t="s">
        <v>70</v>
      </c>
      <c r="K218" s="27" t="s">
        <v>70</v>
      </c>
      <c r="L218" s="7" t="s">
        <v>70</v>
      </c>
      <c r="M218" s="27" t="s">
        <v>70</v>
      </c>
      <c r="N218" s="27" t="s">
        <v>70</v>
      </c>
      <c r="O218" s="27" t="s">
        <v>70</v>
      </c>
      <c r="P218" s="7" t="s">
        <v>70</v>
      </c>
      <c r="Q218" s="9">
        <v>2021</v>
      </c>
    </row>
    <row r="219" spans="1:17" ht="30">
      <c r="A219" s="4" t="s">
        <v>134</v>
      </c>
      <c r="B219" s="4">
        <v>1</v>
      </c>
      <c r="C219" s="4">
        <v>3</v>
      </c>
      <c r="D219" s="4">
        <v>2</v>
      </c>
      <c r="E219" s="4">
        <v>0</v>
      </c>
      <c r="F219" s="4">
        <v>6</v>
      </c>
      <c r="G219" s="4"/>
      <c r="H219" s="5" t="s">
        <v>253</v>
      </c>
      <c r="I219" s="3" t="s">
        <v>68</v>
      </c>
      <c r="J219" s="85">
        <v>25</v>
      </c>
      <c r="K219" s="85">
        <v>45</v>
      </c>
      <c r="L219" s="85">
        <v>40</v>
      </c>
      <c r="M219" s="85">
        <v>40</v>
      </c>
      <c r="N219" s="85">
        <v>40</v>
      </c>
      <c r="O219" s="85">
        <v>40</v>
      </c>
      <c r="P219" s="85">
        <f>SUM(J219:O219)</f>
        <v>230</v>
      </c>
      <c r="Q219" s="9">
        <v>2021</v>
      </c>
    </row>
    <row r="220" spans="1:17" ht="45">
      <c r="A220" s="4" t="s">
        <v>134</v>
      </c>
      <c r="B220" s="4">
        <v>1</v>
      </c>
      <c r="C220" s="4">
        <v>3</v>
      </c>
      <c r="D220" s="4">
        <v>2</v>
      </c>
      <c r="E220" s="4">
        <v>0</v>
      </c>
      <c r="F220" s="4">
        <v>7</v>
      </c>
      <c r="G220" s="4"/>
      <c r="H220" s="5" t="s">
        <v>300</v>
      </c>
      <c r="I220" s="4" t="s">
        <v>56</v>
      </c>
      <c r="J220" s="27" t="s">
        <v>70</v>
      </c>
      <c r="K220" s="27" t="s">
        <v>70</v>
      </c>
      <c r="L220" s="7" t="s">
        <v>70</v>
      </c>
      <c r="M220" s="27" t="s">
        <v>70</v>
      </c>
      <c r="N220" s="27" t="s">
        <v>70</v>
      </c>
      <c r="O220" s="27" t="s">
        <v>70</v>
      </c>
      <c r="P220" s="7" t="s">
        <v>70</v>
      </c>
      <c r="Q220" s="9">
        <v>2021</v>
      </c>
    </row>
    <row r="221" spans="1:17" ht="45">
      <c r="A221" s="4" t="s">
        <v>134</v>
      </c>
      <c r="B221" s="4">
        <v>1</v>
      </c>
      <c r="C221" s="4">
        <v>3</v>
      </c>
      <c r="D221" s="4">
        <v>2</v>
      </c>
      <c r="E221" s="4">
        <v>0</v>
      </c>
      <c r="F221" s="4">
        <v>7</v>
      </c>
      <c r="G221" s="4"/>
      <c r="H221" s="5" t="s">
        <v>304</v>
      </c>
      <c r="I221" s="3" t="s">
        <v>68</v>
      </c>
      <c r="J221" s="85">
        <v>25</v>
      </c>
      <c r="K221" s="85">
        <v>25</v>
      </c>
      <c r="L221" s="85">
        <v>25</v>
      </c>
      <c r="M221" s="85">
        <v>25</v>
      </c>
      <c r="N221" s="85">
        <v>25</v>
      </c>
      <c r="O221" s="85">
        <v>25</v>
      </c>
      <c r="P221" s="85">
        <f>SUM(J221:O221)</f>
        <v>150</v>
      </c>
      <c r="Q221" s="9">
        <v>2021</v>
      </c>
    </row>
    <row r="222" spans="1:17" ht="45">
      <c r="A222" s="4" t="s">
        <v>134</v>
      </c>
      <c r="B222" s="4">
        <v>1</v>
      </c>
      <c r="C222" s="4">
        <v>3</v>
      </c>
      <c r="D222" s="4">
        <v>2</v>
      </c>
      <c r="E222" s="4">
        <v>0</v>
      </c>
      <c r="F222" s="4">
        <v>8</v>
      </c>
      <c r="G222" s="4"/>
      <c r="H222" s="5" t="s">
        <v>301</v>
      </c>
      <c r="I222" s="4" t="s">
        <v>56</v>
      </c>
      <c r="J222" s="27" t="s">
        <v>70</v>
      </c>
      <c r="K222" s="27" t="s">
        <v>70</v>
      </c>
      <c r="L222" s="7" t="s">
        <v>70</v>
      </c>
      <c r="M222" s="27" t="s">
        <v>70</v>
      </c>
      <c r="N222" s="27" t="s">
        <v>70</v>
      </c>
      <c r="O222" s="27" t="s">
        <v>70</v>
      </c>
      <c r="P222" s="7" t="s">
        <v>70</v>
      </c>
      <c r="Q222" s="9">
        <v>2021</v>
      </c>
    </row>
    <row r="223" spans="1:17" ht="45">
      <c r="A223" s="4" t="s">
        <v>134</v>
      </c>
      <c r="B223" s="4">
        <v>1</v>
      </c>
      <c r="C223" s="4">
        <v>3</v>
      </c>
      <c r="D223" s="4">
        <v>2</v>
      </c>
      <c r="E223" s="4">
        <v>0</v>
      </c>
      <c r="F223" s="4">
        <v>8</v>
      </c>
      <c r="G223" s="4"/>
      <c r="H223" s="5" t="s">
        <v>305</v>
      </c>
      <c r="I223" s="3" t="s">
        <v>68</v>
      </c>
      <c r="J223" s="86">
        <v>5</v>
      </c>
      <c r="K223" s="86">
        <v>12</v>
      </c>
      <c r="L223" s="85">
        <v>10</v>
      </c>
      <c r="M223" s="85">
        <v>10</v>
      </c>
      <c r="N223" s="85">
        <v>10</v>
      </c>
      <c r="O223" s="85">
        <v>10</v>
      </c>
      <c r="P223" s="85">
        <f>SUM(J223:O223)</f>
        <v>57</v>
      </c>
      <c r="Q223" s="9">
        <v>2021</v>
      </c>
    </row>
    <row r="224" spans="1:17" ht="45">
      <c r="A224" s="4" t="s">
        <v>134</v>
      </c>
      <c r="B224" s="4">
        <v>1</v>
      </c>
      <c r="C224" s="4">
        <v>3</v>
      </c>
      <c r="D224" s="4">
        <v>2</v>
      </c>
      <c r="E224" s="4">
        <v>0</v>
      </c>
      <c r="F224" s="4">
        <v>9</v>
      </c>
      <c r="G224" s="4"/>
      <c r="H224" s="5" t="s">
        <v>303</v>
      </c>
      <c r="I224" s="4" t="s">
        <v>56</v>
      </c>
      <c r="J224" s="27" t="s">
        <v>70</v>
      </c>
      <c r="K224" s="27" t="s">
        <v>70</v>
      </c>
      <c r="L224" s="7" t="s">
        <v>70</v>
      </c>
      <c r="M224" s="27" t="s">
        <v>70</v>
      </c>
      <c r="N224" s="27" t="s">
        <v>70</v>
      </c>
      <c r="O224" s="27" t="s">
        <v>70</v>
      </c>
      <c r="P224" s="7" t="s">
        <v>70</v>
      </c>
      <c r="Q224" s="9">
        <v>2021</v>
      </c>
    </row>
    <row r="225" spans="1:17" ht="45">
      <c r="A225" s="4" t="s">
        <v>134</v>
      </c>
      <c r="B225" s="4">
        <v>1</v>
      </c>
      <c r="C225" s="4">
        <v>3</v>
      </c>
      <c r="D225" s="4">
        <v>2</v>
      </c>
      <c r="E225" s="4">
        <v>0</v>
      </c>
      <c r="F225" s="4">
        <v>9</v>
      </c>
      <c r="G225" s="4"/>
      <c r="H225" s="5" t="s">
        <v>306</v>
      </c>
      <c r="I225" s="3" t="s">
        <v>68</v>
      </c>
      <c r="J225" s="85">
        <v>1</v>
      </c>
      <c r="K225" s="85">
        <v>2</v>
      </c>
      <c r="L225" s="85">
        <v>6</v>
      </c>
      <c r="M225" s="85">
        <v>5</v>
      </c>
      <c r="N225" s="85">
        <v>4</v>
      </c>
      <c r="O225" s="85">
        <v>4</v>
      </c>
      <c r="P225" s="85">
        <f>SUM(J225:O225)</f>
        <v>22</v>
      </c>
      <c r="Q225" s="9">
        <v>2021</v>
      </c>
    </row>
    <row r="226" spans="1:17" ht="45">
      <c r="A226" s="4" t="s">
        <v>134</v>
      </c>
      <c r="B226" s="4">
        <v>1</v>
      </c>
      <c r="C226" s="4">
        <v>3</v>
      </c>
      <c r="D226" s="4">
        <v>2</v>
      </c>
      <c r="E226" s="4">
        <v>1</v>
      </c>
      <c r="F226" s="4">
        <v>0</v>
      </c>
      <c r="G226" s="4"/>
      <c r="H226" s="5" t="s">
        <v>307</v>
      </c>
      <c r="I226" s="4" t="s">
        <v>56</v>
      </c>
      <c r="J226" s="27" t="s">
        <v>70</v>
      </c>
      <c r="K226" s="27" t="s">
        <v>70</v>
      </c>
      <c r="L226" s="7" t="s">
        <v>70</v>
      </c>
      <c r="M226" s="27" t="s">
        <v>70</v>
      </c>
      <c r="N226" s="27" t="s">
        <v>70</v>
      </c>
      <c r="O226" s="27" t="s">
        <v>70</v>
      </c>
      <c r="P226" s="7" t="s">
        <v>70</v>
      </c>
      <c r="Q226" s="9">
        <v>2021</v>
      </c>
    </row>
    <row r="227" spans="1:17" ht="45">
      <c r="A227" s="4" t="s">
        <v>134</v>
      </c>
      <c r="B227" s="4">
        <v>1</v>
      </c>
      <c r="C227" s="4">
        <v>3</v>
      </c>
      <c r="D227" s="4">
        <v>2</v>
      </c>
      <c r="E227" s="4">
        <v>1</v>
      </c>
      <c r="F227" s="4">
        <v>0</v>
      </c>
      <c r="G227" s="4"/>
      <c r="H227" s="5" t="s">
        <v>250</v>
      </c>
      <c r="I227" s="3" t="s">
        <v>68</v>
      </c>
      <c r="J227" s="86">
        <v>4</v>
      </c>
      <c r="K227" s="86">
        <v>5</v>
      </c>
      <c r="L227" s="85">
        <v>5</v>
      </c>
      <c r="M227" s="85">
        <v>5</v>
      </c>
      <c r="N227" s="85">
        <v>5</v>
      </c>
      <c r="O227" s="85">
        <v>5</v>
      </c>
      <c r="P227" s="85">
        <f>SUM(J227:O227)</f>
        <v>29</v>
      </c>
      <c r="Q227" s="9">
        <v>2021</v>
      </c>
    </row>
    <row r="228" spans="1:17" ht="30">
      <c r="A228" s="4" t="s">
        <v>134</v>
      </c>
      <c r="B228" s="4">
        <v>1</v>
      </c>
      <c r="C228" s="4">
        <v>3</v>
      </c>
      <c r="D228" s="4">
        <v>2</v>
      </c>
      <c r="E228" s="4">
        <v>1</v>
      </c>
      <c r="F228" s="4">
        <v>1</v>
      </c>
      <c r="G228" s="4"/>
      <c r="H228" s="5" t="s">
        <v>308</v>
      </c>
      <c r="I228" s="4" t="s">
        <v>56</v>
      </c>
      <c r="J228" s="27" t="s">
        <v>70</v>
      </c>
      <c r="K228" s="27" t="s">
        <v>70</v>
      </c>
      <c r="L228" s="7" t="s">
        <v>70</v>
      </c>
      <c r="M228" s="27" t="s">
        <v>70</v>
      </c>
      <c r="N228" s="27" t="s">
        <v>70</v>
      </c>
      <c r="O228" s="27" t="s">
        <v>70</v>
      </c>
      <c r="P228" s="7" t="s">
        <v>70</v>
      </c>
      <c r="Q228" s="9">
        <v>2021</v>
      </c>
    </row>
    <row r="229" spans="1:17" ht="30">
      <c r="A229" s="4" t="s">
        <v>134</v>
      </c>
      <c r="B229" s="4">
        <v>1</v>
      </c>
      <c r="C229" s="4">
        <v>3</v>
      </c>
      <c r="D229" s="4">
        <v>2</v>
      </c>
      <c r="E229" s="4">
        <v>1</v>
      </c>
      <c r="F229" s="4">
        <v>1</v>
      </c>
      <c r="G229" s="4"/>
      <c r="H229" s="5" t="s">
        <v>251</v>
      </c>
      <c r="I229" s="3" t="s">
        <v>68</v>
      </c>
      <c r="J229" s="86">
        <v>40</v>
      </c>
      <c r="K229" s="86">
        <v>40</v>
      </c>
      <c r="L229" s="85">
        <v>30</v>
      </c>
      <c r="M229" s="85">
        <v>30</v>
      </c>
      <c r="N229" s="85">
        <v>30</v>
      </c>
      <c r="O229" s="85">
        <v>30</v>
      </c>
      <c r="P229" s="85">
        <f>SUM(J229:O229)</f>
        <v>200</v>
      </c>
      <c r="Q229" s="9">
        <v>2021</v>
      </c>
    </row>
    <row r="230" spans="1:17" ht="30">
      <c r="A230" s="4" t="s">
        <v>134</v>
      </c>
      <c r="B230" s="4">
        <v>1</v>
      </c>
      <c r="C230" s="4">
        <v>3</v>
      </c>
      <c r="D230" s="4">
        <v>2</v>
      </c>
      <c r="E230" s="4">
        <v>1</v>
      </c>
      <c r="F230" s="4">
        <v>2</v>
      </c>
      <c r="G230" s="4"/>
      <c r="H230" s="5" t="s">
        <v>309</v>
      </c>
      <c r="I230" s="4" t="s">
        <v>56</v>
      </c>
      <c r="J230" s="27" t="s">
        <v>70</v>
      </c>
      <c r="K230" s="27" t="s">
        <v>70</v>
      </c>
      <c r="L230" s="7" t="s">
        <v>70</v>
      </c>
      <c r="M230" s="27" t="s">
        <v>70</v>
      </c>
      <c r="N230" s="27" t="s">
        <v>70</v>
      </c>
      <c r="O230" s="27" t="s">
        <v>70</v>
      </c>
      <c r="P230" s="7" t="s">
        <v>70</v>
      </c>
      <c r="Q230" s="9">
        <v>2021</v>
      </c>
    </row>
    <row r="231" spans="1:17" ht="30">
      <c r="A231" s="4" t="s">
        <v>134</v>
      </c>
      <c r="B231" s="4">
        <v>1</v>
      </c>
      <c r="C231" s="4">
        <v>3</v>
      </c>
      <c r="D231" s="4">
        <v>2</v>
      </c>
      <c r="E231" s="4">
        <v>1</v>
      </c>
      <c r="F231" s="4">
        <v>2</v>
      </c>
      <c r="G231" s="4"/>
      <c r="H231" s="5" t="s">
        <v>252</v>
      </c>
      <c r="I231" s="3" t="s">
        <v>68</v>
      </c>
      <c r="J231" s="86">
        <v>180</v>
      </c>
      <c r="K231" s="86">
        <v>160</v>
      </c>
      <c r="L231" s="85">
        <v>170</v>
      </c>
      <c r="M231" s="85">
        <v>170</v>
      </c>
      <c r="N231" s="85">
        <v>170</v>
      </c>
      <c r="O231" s="85">
        <v>170</v>
      </c>
      <c r="P231" s="85">
        <f>SUM(J231:O231)</f>
        <v>1020</v>
      </c>
      <c r="Q231" s="9">
        <v>2021</v>
      </c>
    </row>
    <row r="232" spans="1:17" ht="30">
      <c r="A232" s="4" t="s">
        <v>134</v>
      </c>
      <c r="B232" s="4">
        <v>1</v>
      </c>
      <c r="C232" s="4">
        <v>3</v>
      </c>
      <c r="D232" s="4">
        <v>2</v>
      </c>
      <c r="E232" s="4">
        <v>1</v>
      </c>
      <c r="F232" s="4">
        <v>3</v>
      </c>
      <c r="G232" s="4"/>
      <c r="H232" s="5" t="s">
        <v>243</v>
      </c>
      <c r="I232" s="4" t="s">
        <v>56</v>
      </c>
      <c r="J232" s="27" t="s">
        <v>70</v>
      </c>
      <c r="K232" s="27" t="s">
        <v>70</v>
      </c>
      <c r="L232" s="7" t="s">
        <v>70</v>
      </c>
      <c r="M232" s="27" t="s">
        <v>70</v>
      </c>
      <c r="N232" s="27" t="s">
        <v>70</v>
      </c>
      <c r="O232" s="27" t="s">
        <v>70</v>
      </c>
      <c r="P232" s="7" t="s">
        <v>70</v>
      </c>
      <c r="Q232" s="9">
        <v>2021</v>
      </c>
    </row>
    <row r="233" spans="1:17" ht="30">
      <c r="A233" s="4" t="s">
        <v>134</v>
      </c>
      <c r="B233" s="4">
        <v>1</v>
      </c>
      <c r="C233" s="4">
        <v>3</v>
      </c>
      <c r="D233" s="4">
        <v>2</v>
      </c>
      <c r="E233" s="4">
        <v>1</v>
      </c>
      <c r="F233" s="4">
        <v>3</v>
      </c>
      <c r="G233" s="4"/>
      <c r="H233" s="5" t="s">
        <v>244</v>
      </c>
      <c r="I233" s="3" t="s">
        <v>68</v>
      </c>
      <c r="J233" s="86">
        <v>44</v>
      </c>
      <c r="K233" s="86">
        <v>150</v>
      </c>
      <c r="L233" s="85">
        <v>200</v>
      </c>
      <c r="M233" s="85">
        <v>200</v>
      </c>
      <c r="N233" s="85">
        <v>200</v>
      </c>
      <c r="O233" s="85">
        <v>200</v>
      </c>
      <c r="P233" s="85">
        <f>SUM(J233:O233)</f>
        <v>994</v>
      </c>
      <c r="Q233" s="9">
        <v>2021</v>
      </c>
    </row>
    <row r="234" spans="1:17" ht="14.25">
      <c r="A234" s="78" t="s">
        <v>134</v>
      </c>
      <c r="B234" s="78">
        <v>1</v>
      </c>
      <c r="C234" s="78">
        <v>4</v>
      </c>
      <c r="D234" s="78">
        <v>0</v>
      </c>
      <c r="E234" s="78">
        <v>0</v>
      </c>
      <c r="F234" s="78">
        <v>0</v>
      </c>
      <c r="G234" s="78"/>
      <c r="H234" s="60" t="s">
        <v>310</v>
      </c>
      <c r="I234" s="61" t="s">
        <v>67</v>
      </c>
      <c r="J234" s="80">
        <f>J235+J236+J237</f>
        <v>161734.5</v>
      </c>
      <c r="K234" s="80">
        <f aca="true" t="shared" si="44" ref="K234:P234">K235+K236+K237</f>
        <v>130490.5</v>
      </c>
      <c r="L234" s="80">
        <f t="shared" si="44"/>
        <v>60257.1</v>
      </c>
      <c r="M234" s="80">
        <f t="shared" si="44"/>
        <v>62030.4</v>
      </c>
      <c r="N234" s="80">
        <f t="shared" si="44"/>
        <v>63663.4</v>
      </c>
      <c r="O234" s="80">
        <f t="shared" si="44"/>
        <v>65828</v>
      </c>
      <c r="P234" s="80">
        <f t="shared" si="44"/>
        <v>544003.9</v>
      </c>
      <c r="Q234" s="62">
        <v>2021</v>
      </c>
    </row>
    <row r="235" spans="1:17" ht="15">
      <c r="A235" s="4" t="s">
        <v>134</v>
      </c>
      <c r="B235" s="4">
        <v>1</v>
      </c>
      <c r="C235" s="4">
        <v>4</v>
      </c>
      <c r="D235" s="4">
        <v>0</v>
      </c>
      <c r="E235" s="4">
        <v>0</v>
      </c>
      <c r="F235" s="4">
        <v>0</v>
      </c>
      <c r="G235" s="4">
        <v>1</v>
      </c>
      <c r="H235" s="5" t="s">
        <v>31</v>
      </c>
      <c r="I235" s="3" t="s">
        <v>67</v>
      </c>
      <c r="J235" s="6">
        <f>J239</f>
        <v>70451.79999999999</v>
      </c>
      <c r="K235" s="6">
        <f aca="true" t="shared" si="45" ref="K235:P237">K239</f>
        <v>33900.6</v>
      </c>
      <c r="L235" s="6">
        <f t="shared" si="45"/>
        <v>23757.1</v>
      </c>
      <c r="M235" s="6">
        <f t="shared" si="45"/>
        <v>24612.4</v>
      </c>
      <c r="N235" s="6">
        <f t="shared" si="45"/>
        <v>25400</v>
      </c>
      <c r="O235" s="6">
        <f t="shared" si="45"/>
        <v>26263.6</v>
      </c>
      <c r="P235" s="6">
        <f t="shared" si="45"/>
        <v>204385.5</v>
      </c>
      <c r="Q235" s="9">
        <v>2021</v>
      </c>
    </row>
    <row r="236" spans="1:17" ht="15">
      <c r="A236" s="4" t="s">
        <v>134</v>
      </c>
      <c r="B236" s="4">
        <v>1</v>
      </c>
      <c r="C236" s="4">
        <v>4</v>
      </c>
      <c r="D236" s="4">
        <v>0</v>
      </c>
      <c r="E236" s="4">
        <v>0</v>
      </c>
      <c r="F236" s="4">
        <v>0</v>
      </c>
      <c r="G236" s="4">
        <v>2</v>
      </c>
      <c r="H236" s="5" t="s">
        <v>32</v>
      </c>
      <c r="I236" s="3" t="s">
        <v>67</v>
      </c>
      <c r="J236" s="6">
        <f>J240</f>
        <v>54768.899999999994</v>
      </c>
      <c r="K236" s="6">
        <f t="shared" si="45"/>
        <v>64032.8</v>
      </c>
      <c r="L236" s="6">
        <f t="shared" si="45"/>
        <v>25500</v>
      </c>
      <c r="M236" s="6">
        <f t="shared" si="45"/>
        <v>26418</v>
      </c>
      <c r="N236" s="6">
        <f t="shared" si="45"/>
        <v>27263.4</v>
      </c>
      <c r="O236" s="6">
        <f t="shared" si="45"/>
        <v>28190.4</v>
      </c>
      <c r="P236" s="6">
        <f t="shared" si="45"/>
        <v>226173.5</v>
      </c>
      <c r="Q236" s="9">
        <v>2021</v>
      </c>
    </row>
    <row r="237" spans="1:17" ht="15">
      <c r="A237" s="4" t="s">
        <v>134</v>
      </c>
      <c r="B237" s="4">
        <v>1</v>
      </c>
      <c r="C237" s="4">
        <v>4</v>
      </c>
      <c r="D237" s="4">
        <v>0</v>
      </c>
      <c r="E237" s="4">
        <v>0</v>
      </c>
      <c r="F237" s="4">
        <v>0</v>
      </c>
      <c r="G237" s="4">
        <v>3</v>
      </c>
      <c r="H237" s="5" t="s">
        <v>33</v>
      </c>
      <c r="I237" s="3" t="s">
        <v>67</v>
      </c>
      <c r="J237" s="6">
        <f>J241</f>
        <v>36513.8</v>
      </c>
      <c r="K237" s="6">
        <f t="shared" si="45"/>
        <v>32557.1</v>
      </c>
      <c r="L237" s="6">
        <f t="shared" si="45"/>
        <v>11000</v>
      </c>
      <c r="M237" s="6">
        <f t="shared" si="45"/>
        <v>11000</v>
      </c>
      <c r="N237" s="6">
        <f t="shared" si="45"/>
        <v>11000</v>
      </c>
      <c r="O237" s="6">
        <f t="shared" si="45"/>
        <v>11374</v>
      </c>
      <c r="P237" s="6">
        <f t="shared" si="45"/>
        <v>113444.9</v>
      </c>
      <c r="Q237" s="9">
        <v>2021</v>
      </c>
    </row>
    <row r="238" spans="1:17" ht="15">
      <c r="A238" s="4" t="s">
        <v>134</v>
      </c>
      <c r="B238" s="4">
        <v>1</v>
      </c>
      <c r="C238" s="4">
        <v>4</v>
      </c>
      <c r="D238" s="4">
        <v>1</v>
      </c>
      <c r="E238" s="4">
        <v>0</v>
      </c>
      <c r="F238" s="4">
        <v>0</v>
      </c>
      <c r="G238" s="4"/>
      <c r="H238" s="5" t="s">
        <v>77</v>
      </c>
      <c r="I238" s="3" t="s">
        <v>67</v>
      </c>
      <c r="J238" s="7">
        <f>J239+J240+J241</f>
        <v>161734.5</v>
      </c>
      <c r="K238" s="7">
        <f aca="true" t="shared" si="46" ref="K238:P238">K239+K240+K241</f>
        <v>130490.5</v>
      </c>
      <c r="L238" s="7">
        <f t="shared" si="46"/>
        <v>60257.1</v>
      </c>
      <c r="M238" s="7">
        <f t="shared" si="46"/>
        <v>62030.4</v>
      </c>
      <c r="N238" s="7">
        <f t="shared" si="46"/>
        <v>63663.4</v>
      </c>
      <c r="O238" s="7">
        <f t="shared" si="46"/>
        <v>65828</v>
      </c>
      <c r="P238" s="7">
        <f t="shared" si="46"/>
        <v>544003.9</v>
      </c>
      <c r="Q238" s="9">
        <v>2021</v>
      </c>
    </row>
    <row r="239" spans="1:17" ht="15">
      <c r="A239" s="4" t="s">
        <v>134</v>
      </c>
      <c r="B239" s="4">
        <v>1</v>
      </c>
      <c r="C239" s="4">
        <v>4</v>
      </c>
      <c r="D239" s="4">
        <v>1</v>
      </c>
      <c r="E239" s="4">
        <v>0</v>
      </c>
      <c r="F239" s="4">
        <v>0</v>
      </c>
      <c r="G239" s="4">
        <v>1</v>
      </c>
      <c r="H239" s="5" t="s">
        <v>31</v>
      </c>
      <c r="I239" s="3" t="s">
        <v>67</v>
      </c>
      <c r="J239" s="6">
        <f aca="true" t="shared" si="47" ref="J239:O241">J249+J254</f>
        <v>70451.79999999999</v>
      </c>
      <c r="K239" s="6">
        <f t="shared" si="47"/>
        <v>33900.6</v>
      </c>
      <c r="L239" s="6">
        <f t="shared" si="47"/>
        <v>23757.1</v>
      </c>
      <c r="M239" s="6">
        <f t="shared" si="47"/>
        <v>24612.4</v>
      </c>
      <c r="N239" s="6">
        <f t="shared" si="47"/>
        <v>25400</v>
      </c>
      <c r="O239" s="6">
        <f t="shared" si="47"/>
        <v>26263.6</v>
      </c>
      <c r="P239" s="6">
        <f>SUM(J239:O239)</f>
        <v>204385.5</v>
      </c>
      <c r="Q239" s="9">
        <v>2021</v>
      </c>
    </row>
    <row r="240" spans="1:17" ht="15">
      <c r="A240" s="4" t="s">
        <v>134</v>
      </c>
      <c r="B240" s="4">
        <v>1</v>
      </c>
      <c r="C240" s="4">
        <v>4</v>
      </c>
      <c r="D240" s="4">
        <v>1</v>
      </c>
      <c r="E240" s="4">
        <v>0</v>
      </c>
      <c r="F240" s="4">
        <v>0</v>
      </c>
      <c r="G240" s="4">
        <v>2</v>
      </c>
      <c r="H240" s="5" t="s">
        <v>32</v>
      </c>
      <c r="I240" s="3" t="s">
        <v>67</v>
      </c>
      <c r="J240" s="6">
        <f t="shared" si="47"/>
        <v>54768.899999999994</v>
      </c>
      <c r="K240" s="6">
        <f t="shared" si="47"/>
        <v>64032.8</v>
      </c>
      <c r="L240" s="6">
        <f t="shared" si="47"/>
        <v>25500</v>
      </c>
      <c r="M240" s="6">
        <f t="shared" si="47"/>
        <v>26418</v>
      </c>
      <c r="N240" s="6">
        <f t="shared" si="47"/>
        <v>27263.4</v>
      </c>
      <c r="O240" s="6">
        <f t="shared" si="47"/>
        <v>28190.4</v>
      </c>
      <c r="P240" s="6">
        <f>SUM(J240:O240)</f>
        <v>226173.5</v>
      </c>
      <c r="Q240" s="9">
        <v>2021</v>
      </c>
    </row>
    <row r="241" spans="1:17" ht="15">
      <c r="A241" s="4" t="s">
        <v>134</v>
      </c>
      <c r="B241" s="4">
        <v>1</v>
      </c>
      <c r="C241" s="4">
        <v>4</v>
      </c>
      <c r="D241" s="4">
        <v>1</v>
      </c>
      <c r="E241" s="4">
        <v>0</v>
      </c>
      <c r="F241" s="4">
        <v>0</v>
      </c>
      <c r="G241" s="4">
        <v>3</v>
      </c>
      <c r="H241" s="5" t="s">
        <v>33</v>
      </c>
      <c r="I241" s="3" t="s">
        <v>67</v>
      </c>
      <c r="J241" s="7">
        <f t="shared" si="47"/>
        <v>36513.8</v>
      </c>
      <c r="K241" s="7">
        <f t="shared" si="47"/>
        <v>32557.1</v>
      </c>
      <c r="L241" s="7">
        <f t="shared" si="47"/>
        <v>11000</v>
      </c>
      <c r="M241" s="7">
        <f t="shared" si="47"/>
        <v>11000</v>
      </c>
      <c r="N241" s="7">
        <f t="shared" si="47"/>
        <v>11000</v>
      </c>
      <c r="O241" s="7">
        <f t="shared" si="47"/>
        <v>11374</v>
      </c>
      <c r="P241" s="6">
        <f>SUM(J241:O241)</f>
        <v>113444.9</v>
      </c>
      <c r="Q241" s="9">
        <v>2021</v>
      </c>
    </row>
    <row r="242" spans="1:17" ht="90">
      <c r="A242" s="4" t="s">
        <v>134</v>
      </c>
      <c r="B242" s="4">
        <v>1</v>
      </c>
      <c r="C242" s="4">
        <v>4</v>
      </c>
      <c r="D242" s="4">
        <v>1</v>
      </c>
      <c r="E242" s="4">
        <v>0</v>
      </c>
      <c r="F242" s="4">
        <v>0</v>
      </c>
      <c r="G242" s="4"/>
      <c r="H242" s="5" t="s">
        <v>144</v>
      </c>
      <c r="I242" s="3" t="s">
        <v>129</v>
      </c>
      <c r="J242" s="6">
        <f>расчет_показ!E114</f>
        <v>65.7142617291597</v>
      </c>
      <c r="K242" s="6">
        <f>расчет_показ!F114</f>
        <v>47.680118143459914</v>
      </c>
      <c r="L242" s="6">
        <f>расчет_показ!G114</f>
        <v>35.65622364104088</v>
      </c>
      <c r="M242" s="6">
        <f>расчет_показ!H114</f>
        <v>49.2248</v>
      </c>
      <c r="N242" s="6">
        <f>расчет_показ!I114</f>
        <v>50.8</v>
      </c>
      <c r="O242" s="6">
        <f>расчет_показ!J114</f>
        <v>52.52719999999999</v>
      </c>
      <c r="P242" s="6">
        <f>O242</f>
        <v>52.52719999999999</v>
      </c>
      <c r="Q242" s="9">
        <v>2021</v>
      </c>
    </row>
    <row r="243" spans="1:17" ht="105">
      <c r="A243" s="4" t="s">
        <v>134</v>
      </c>
      <c r="B243" s="4">
        <v>1</v>
      </c>
      <c r="C243" s="4">
        <v>4</v>
      </c>
      <c r="D243" s="4">
        <v>1</v>
      </c>
      <c r="E243" s="4">
        <v>0</v>
      </c>
      <c r="F243" s="4">
        <v>0</v>
      </c>
      <c r="G243" s="4"/>
      <c r="H243" s="5" t="s">
        <v>173</v>
      </c>
      <c r="I243" s="3" t="s">
        <v>129</v>
      </c>
      <c r="J243" s="6">
        <f>расчет_показ!E117</f>
        <v>66.52936181791459</v>
      </c>
      <c r="K243" s="6">
        <f>расчет_показ!F117</f>
        <v>67.50069179111439</v>
      </c>
      <c r="L243" s="6">
        <f>расчет_показ!G117</f>
        <v>40.476190476190474</v>
      </c>
      <c r="M243" s="6">
        <f>расчет_показ!H117</f>
        <v>52.836000000000006</v>
      </c>
      <c r="N243" s="6">
        <f>расчет_показ!I117</f>
        <v>54.526799999999994</v>
      </c>
      <c r="O243" s="6">
        <f>расчет_показ!J117</f>
        <v>56.3808</v>
      </c>
      <c r="P243" s="6">
        <f>O243</f>
        <v>56.3808</v>
      </c>
      <c r="Q243" s="9">
        <v>2021</v>
      </c>
    </row>
    <row r="244" spans="1:18" ht="30">
      <c r="A244" s="4" t="s">
        <v>134</v>
      </c>
      <c r="B244" s="4">
        <v>1</v>
      </c>
      <c r="C244" s="4">
        <v>4</v>
      </c>
      <c r="D244" s="4">
        <v>1</v>
      </c>
      <c r="E244" s="4">
        <v>0</v>
      </c>
      <c r="F244" s="4">
        <v>1</v>
      </c>
      <c r="G244" s="4"/>
      <c r="H244" s="5" t="s">
        <v>26</v>
      </c>
      <c r="I244" s="3" t="s">
        <v>56</v>
      </c>
      <c r="J244" s="6" t="s">
        <v>70</v>
      </c>
      <c r="K244" s="6" t="s">
        <v>70</v>
      </c>
      <c r="L244" s="8" t="s">
        <v>70</v>
      </c>
      <c r="M244" s="6" t="s">
        <v>70</v>
      </c>
      <c r="N244" s="6" t="s">
        <v>70</v>
      </c>
      <c r="O244" s="6" t="s">
        <v>70</v>
      </c>
      <c r="P244" s="6" t="s">
        <v>70</v>
      </c>
      <c r="Q244" s="9">
        <v>2021</v>
      </c>
      <c r="R244" s="16" t="s">
        <v>302</v>
      </c>
    </row>
    <row r="245" spans="1:17" ht="15">
      <c r="A245" s="4" t="s">
        <v>134</v>
      </c>
      <c r="B245" s="4">
        <v>1</v>
      </c>
      <c r="C245" s="4">
        <v>4</v>
      </c>
      <c r="D245" s="4">
        <v>1</v>
      </c>
      <c r="E245" s="4">
        <v>0</v>
      </c>
      <c r="F245" s="4">
        <v>1</v>
      </c>
      <c r="G245" s="4"/>
      <c r="H245" s="5" t="s">
        <v>55</v>
      </c>
      <c r="I245" s="3" t="s">
        <v>68</v>
      </c>
      <c r="J245" s="53">
        <v>50</v>
      </c>
      <c r="K245" s="53">
        <v>100</v>
      </c>
      <c r="L245" s="53">
        <v>50</v>
      </c>
      <c r="M245" s="53">
        <v>50</v>
      </c>
      <c r="N245" s="53">
        <v>50</v>
      </c>
      <c r="O245" s="53">
        <v>50</v>
      </c>
      <c r="P245" s="85">
        <f>SUM(J245:O245)</f>
        <v>350</v>
      </c>
      <c r="Q245" s="9">
        <v>2021</v>
      </c>
    </row>
    <row r="246" spans="1:18" ht="30">
      <c r="A246" s="4" t="s">
        <v>134</v>
      </c>
      <c r="B246" s="4">
        <v>1</v>
      </c>
      <c r="C246" s="4">
        <v>4</v>
      </c>
      <c r="D246" s="4">
        <v>1</v>
      </c>
      <c r="E246" s="4">
        <v>0</v>
      </c>
      <c r="F246" s="4">
        <v>2</v>
      </c>
      <c r="G246" s="4"/>
      <c r="H246" s="5" t="s">
        <v>44</v>
      </c>
      <c r="I246" s="3" t="s">
        <v>56</v>
      </c>
      <c r="J246" s="6" t="s">
        <v>70</v>
      </c>
      <c r="K246" s="6" t="s">
        <v>70</v>
      </c>
      <c r="L246" s="6" t="s">
        <v>70</v>
      </c>
      <c r="M246" s="6" t="s">
        <v>70</v>
      </c>
      <c r="N246" s="6" t="s">
        <v>70</v>
      </c>
      <c r="O246" s="6" t="s">
        <v>70</v>
      </c>
      <c r="P246" s="6" t="s">
        <v>70</v>
      </c>
      <c r="Q246" s="9">
        <v>2021</v>
      </c>
      <c r="R246" s="16" t="s">
        <v>302</v>
      </c>
    </row>
    <row r="247" spans="1:17" ht="15">
      <c r="A247" s="4" t="s">
        <v>134</v>
      </c>
      <c r="B247" s="4">
        <v>1</v>
      </c>
      <c r="C247" s="4">
        <v>4</v>
      </c>
      <c r="D247" s="4">
        <v>1</v>
      </c>
      <c r="E247" s="4">
        <v>0</v>
      </c>
      <c r="F247" s="4">
        <v>2</v>
      </c>
      <c r="G247" s="4"/>
      <c r="H247" s="5" t="s">
        <v>127</v>
      </c>
      <c r="I247" s="3" t="s">
        <v>68</v>
      </c>
      <c r="J247" s="53">
        <v>1</v>
      </c>
      <c r="K247" s="53">
        <v>1</v>
      </c>
      <c r="L247" s="53">
        <v>1</v>
      </c>
      <c r="M247" s="53">
        <v>1</v>
      </c>
      <c r="N247" s="53">
        <v>1</v>
      </c>
      <c r="O247" s="53">
        <v>1</v>
      </c>
      <c r="P247" s="53">
        <v>1</v>
      </c>
      <c r="Q247" s="9">
        <v>2021</v>
      </c>
    </row>
    <row r="248" spans="1:18" ht="30">
      <c r="A248" s="4" t="s">
        <v>134</v>
      </c>
      <c r="B248" s="4">
        <v>1</v>
      </c>
      <c r="C248" s="4">
        <v>4</v>
      </c>
      <c r="D248" s="4">
        <v>1</v>
      </c>
      <c r="E248" s="4">
        <v>0</v>
      </c>
      <c r="F248" s="4">
        <v>3</v>
      </c>
      <c r="G248" s="4"/>
      <c r="H248" s="5" t="s">
        <v>388</v>
      </c>
      <c r="I248" s="3" t="s">
        <v>67</v>
      </c>
      <c r="J248" s="6">
        <f aca="true" t="shared" si="48" ref="J248:O248">J251+J250+J249</f>
        <v>64643.899999999994</v>
      </c>
      <c r="K248" s="6">
        <f t="shared" si="48"/>
        <v>56983.4</v>
      </c>
      <c r="L248" s="6">
        <f t="shared" si="48"/>
        <v>60257.1</v>
      </c>
      <c r="M248" s="6">
        <f t="shared" si="48"/>
        <v>62030.4</v>
      </c>
      <c r="N248" s="6">
        <f t="shared" si="48"/>
        <v>63663.4</v>
      </c>
      <c r="O248" s="6">
        <f t="shared" si="48"/>
        <v>65828</v>
      </c>
      <c r="P248" s="6">
        <f aca="true" t="shared" si="49" ref="P248:P257">SUM(J248:O248)</f>
        <v>373406.2</v>
      </c>
      <c r="Q248" s="9">
        <v>2021</v>
      </c>
      <c r="R248" s="16" t="s">
        <v>386</v>
      </c>
    </row>
    <row r="249" spans="1:17" ht="15">
      <c r="A249" s="4" t="s">
        <v>134</v>
      </c>
      <c r="B249" s="4">
        <v>1</v>
      </c>
      <c r="C249" s="4">
        <v>4</v>
      </c>
      <c r="D249" s="4">
        <v>1</v>
      </c>
      <c r="E249" s="4">
        <v>0</v>
      </c>
      <c r="F249" s="4">
        <v>3</v>
      </c>
      <c r="G249" s="4">
        <v>1</v>
      </c>
      <c r="H249" s="5" t="s">
        <v>31</v>
      </c>
      <c r="I249" s="3" t="s">
        <v>67</v>
      </c>
      <c r="J249" s="6">
        <f>23757.1+0.1</f>
        <v>23757.199999999997</v>
      </c>
      <c r="K249" s="6"/>
      <c r="L249" s="6">
        <v>23757.1</v>
      </c>
      <c r="M249" s="6">
        <v>24612.4</v>
      </c>
      <c r="N249" s="6">
        <v>25400</v>
      </c>
      <c r="O249" s="88">
        <f>ROUND((N249*103.4/100),1)</f>
        <v>26263.6</v>
      </c>
      <c r="P249" s="6">
        <f t="shared" si="49"/>
        <v>123790.29999999999</v>
      </c>
      <c r="Q249" s="9">
        <v>2021</v>
      </c>
    </row>
    <row r="250" spans="1:17" ht="15">
      <c r="A250" s="4" t="s">
        <v>134</v>
      </c>
      <c r="B250" s="4">
        <v>1</v>
      </c>
      <c r="C250" s="4">
        <v>4</v>
      </c>
      <c r="D250" s="4">
        <v>1</v>
      </c>
      <c r="E250" s="4">
        <v>0</v>
      </c>
      <c r="F250" s="4">
        <v>3</v>
      </c>
      <c r="G250" s="4">
        <v>2</v>
      </c>
      <c r="H250" s="5" t="s">
        <v>32</v>
      </c>
      <c r="I250" s="3" t="s">
        <v>67</v>
      </c>
      <c r="J250" s="6">
        <v>20074.7</v>
      </c>
      <c r="K250" s="6">
        <v>40086.4</v>
      </c>
      <c r="L250" s="6">
        <v>25500</v>
      </c>
      <c r="M250" s="6">
        <v>26418</v>
      </c>
      <c r="N250" s="6">
        <v>27263.4</v>
      </c>
      <c r="O250" s="88">
        <f>ROUND((N250*103.4/100),1)</f>
        <v>28190.4</v>
      </c>
      <c r="P250" s="6">
        <f t="shared" si="49"/>
        <v>167532.9</v>
      </c>
      <c r="Q250" s="9">
        <v>2021</v>
      </c>
    </row>
    <row r="251" spans="1:17" ht="15">
      <c r="A251" s="4" t="s">
        <v>134</v>
      </c>
      <c r="B251" s="4">
        <v>1</v>
      </c>
      <c r="C251" s="4">
        <v>4</v>
      </c>
      <c r="D251" s="4">
        <v>1</v>
      </c>
      <c r="E251" s="4">
        <v>0</v>
      </c>
      <c r="F251" s="4">
        <v>3</v>
      </c>
      <c r="G251" s="4">
        <v>3</v>
      </c>
      <c r="H251" s="5" t="s">
        <v>33</v>
      </c>
      <c r="I251" s="3" t="s">
        <v>67</v>
      </c>
      <c r="J251" s="6">
        <f>21156.3-344.3</f>
        <v>20812</v>
      </c>
      <c r="K251" s="6">
        <v>16897</v>
      </c>
      <c r="L251" s="6">
        <f>25500-14500</f>
        <v>11000</v>
      </c>
      <c r="M251" s="6">
        <f>26418-15418</f>
        <v>11000</v>
      </c>
      <c r="N251" s="6">
        <v>11000</v>
      </c>
      <c r="O251" s="88">
        <f>ROUND((N251*103.4/100),1)</f>
        <v>11374</v>
      </c>
      <c r="P251" s="6">
        <f t="shared" si="49"/>
        <v>82083</v>
      </c>
      <c r="Q251" s="9">
        <v>2021</v>
      </c>
    </row>
    <row r="252" spans="1:17" ht="30">
      <c r="A252" s="4" t="s">
        <v>134</v>
      </c>
      <c r="B252" s="4">
        <v>1</v>
      </c>
      <c r="C252" s="4">
        <v>4</v>
      </c>
      <c r="D252" s="4">
        <v>1</v>
      </c>
      <c r="E252" s="4">
        <v>0</v>
      </c>
      <c r="F252" s="4">
        <v>3</v>
      </c>
      <c r="G252" s="4"/>
      <c r="H252" s="5" t="s">
        <v>390</v>
      </c>
      <c r="I252" s="3" t="s">
        <v>68</v>
      </c>
      <c r="J252" s="53">
        <v>85</v>
      </c>
      <c r="K252" s="53">
        <v>68</v>
      </c>
      <c r="L252" s="53">
        <v>75</v>
      </c>
      <c r="M252" s="53">
        <v>74</v>
      </c>
      <c r="N252" s="53">
        <v>73</v>
      </c>
      <c r="O252" s="53">
        <v>72</v>
      </c>
      <c r="P252" s="53">
        <f t="shared" si="49"/>
        <v>447</v>
      </c>
      <c r="Q252" s="9">
        <v>2021</v>
      </c>
    </row>
    <row r="253" spans="1:17" ht="45">
      <c r="A253" s="4" t="s">
        <v>134</v>
      </c>
      <c r="B253" s="4">
        <v>1</v>
      </c>
      <c r="C253" s="4">
        <v>4</v>
      </c>
      <c r="D253" s="4">
        <v>1</v>
      </c>
      <c r="E253" s="4">
        <v>0</v>
      </c>
      <c r="F253" s="4">
        <v>4</v>
      </c>
      <c r="G253" s="4"/>
      <c r="H253" s="5" t="s">
        <v>389</v>
      </c>
      <c r="I253" s="3" t="s">
        <v>67</v>
      </c>
      <c r="J253" s="6">
        <f aca="true" t="shared" si="50" ref="J253:O253">J256+J255+J254</f>
        <v>97090.6</v>
      </c>
      <c r="K253" s="6">
        <f t="shared" si="50"/>
        <v>73507.1</v>
      </c>
      <c r="L253" s="6">
        <f t="shared" si="50"/>
        <v>0</v>
      </c>
      <c r="M253" s="6">
        <f>M256+M255+M254</f>
        <v>0</v>
      </c>
      <c r="N253" s="6">
        <f>N256+N255+N254</f>
        <v>0</v>
      </c>
      <c r="O253" s="6">
        <f t="shared" si="50"/>
        <v>0</v>
      </c>
      <c r="P253" s="6">
        <f t="shared" si="49"/>
        <v>170597.7</v>
      </c>
      <c r="Q253" s="9">
        <v>2017</v>
      </c>
    </row>
    <row r="254" spans="1:17" ht="15">
      <c r="A254" s="4" t="s">
        <v>134</v>
      </c>
      <c r="B254" s="4">
        <v>1</v>
      </c>
      <c r="C254" s="4">
        <v>4</v>
      </c>
      <c r="D254" s="4">
        <v>1</v>
      </c>
      <c r="E254" s="4">
        <v>0</v>
      </c>
      <c r="F254" s="4">
        <v>4</v>
      </c>
      <c r="G254" s="4">
        <v>1</v>
      </c>
      <c r="H254" s="5" t="s">
        <v>31</v>
      </c>
      <c r="I254" s="3" t="s">
        <v>67</v>
      </c>
      <c r="J254" s="6">
        <f>70451.7-23757.1</f>
        <v>46694.6</v>
      </c>
      <c r="K254" s="6">
        <v>33900.6</v>
      </c>
      <c r="L254" s="6">
        <v>0</v>
      </c>
      <c r="M254" s="6">
        <v>0</v>
      </c>
      <c r="N254" s="6">
        <v>0</v>
      </c>
      <c r="O254" s="6">
        <v>0</v>
      </c>
      <c r="P254" s="6">
        <f t="shared" si="49"/>
        <v>80595.2</v>
      </c>
      <c r="Q254" s="9">
        <v>2017</v>
      </c>
    </row>
    <row r="255" spans="1:17" ht="15">
      <c r="A255" s="4" t="s">
        <v>134</v>
      </c>
      <c r="B255" s="4">
        <v>1</v>
      </c>
      <c r="C255" s="4">
        <v>4</v>
      </c>
      <c r="D255" s="4">
        <v>1</v>
      </c>
      <c r="E255" s="4">
        <v>0</v>
      </c>
      <c r="F255" s="4">
        <v>4</v>
      </c>
      <c r="G255" s="4">
        <v>2</v>
      </c>
      <c r="H255" s="5" t="s">
        <v>32</v>
      </c>
      <c r="I255" s="3" t="s">
        <v>67</v>
      </c>
      <c r="J255" s="6">
        <f>54768.9-20074.7</f>
        <v>34694.2</v>
      </c>
      <c r="K255" s="6">
        <v>23946.4</v>
      </c>
      <c r="L255" s="6">
        <v>0</v>
      </c>
      <c r="M255" s="6">
        <v>0</v>
      </c>
      <c r="N255" s="6">
        <v>0</v>
      </c>
      <c r="O255" s="6">
        <v>0</v>
      </c>
      <c r="P255" s="6">
        <f t="shared" si="49"/>
        <v>58640.6</v>
      </c>
      <c r="Q255" s="9">
        <v>2017</v>
      </c>
    </row>
    <row r="256" spans="1:17" ht="15">
      <c r="A256" s="4" t="s">
        <v>134</v>
      </c>
      <c r="B256" s="4">
        <v>1</v>
      </c>
      <c r="C256" s="4">
        <v>4</v>
      </c>
      <c r="D256" s="4">
        <v>1</v>
      </c>
      <c r="E256" s="4">
        <v>0</v>
      </c>
      <c r="F256" s="4">
        <v>4</v>
      </c>
      <c r="G256" s="4">
        <v>3</v>
      </c>
      <c r="H256" s="5" t="s">
        <v>33</v>
      </c>
      <c r="I256" s="3" t="s">
        <v>67</v>
      </c>
      <c r="J256" s="6">
        <f>10430.6+5271.2-0.1+0.1</f>
        <v>15701.8</v>
      </c>
      <c r="K256" s="6">
        <v>15660.1</v>
      </c>
      <c r="L256" s="6">
        <v>0</v>
      </c>
      <c r="M256" s="6">
        <v>0</v>
      </c>
      <c r="N256" s="6">
        <v>0</v>
      </c>
      <c r="O256" s="6">
        <v>0</v>
      </c>
      <c r="P256" s="6">
        <f t="shared" si="49"/>
        <v>31361.9</v>
      </c>
      <c r="Q256" s="9">
        <v>2017</v>
      </c>
    </row>
    <row r="257" spans="1:17" ht="30">
      <c r="A257" s="4" t="s">
        <v>134</v>
      </c>
      <c r="B257" s="4">
        <v>1</v>
      </c>
      <c r="C257" s="4">
        <v>4</v>
      </c>
      <c r="D257" s="4">
        <v>1</v>
      </c>
      <c r="E257" s="4">
        <v>0</v>
      </c>
      <c r="F257" s="4">
        <v>4</v>
      </c>
      <c r="G257" s="4"/>
      <c r="H257" s="5" t="s">
        <v>289</v>
      </c>
      <c r="I257" s="3" t="s">
        <v>68</v>
      </c>
      <c r="J257" s="53">
        <v>132</v>
      </c>
      <c r="K257" s="53">
        <v>64</v>
      </c>
      <c r="L257" s="53">
        <v>0</v>
      </c>
      <c r="M257" s="53">
        <v>0</v>
      </c>
      <c r="N257" s="53">
        <v>0</v>
      </c>
      <c r="O257" s="53">
        <v>0</v>
      </c>
      <c r="P257" s="53">
        <f t="shared" si="49"/>
        <v>196</v>
      </c>
      <c r="Q257" s="9">
        <v>2017</v>
      </c>
    </row>
    <row r="258" spans="1:17" ht="42.75">
      <c r="A258" s="78" t="s">
        <v>134</v>
      </c>
      <c r="B258" s="78">
        <v>1</v>
      </c>
      <c r="C258" s="78">
        <v>5</v>
      </c>
      <c r="D258" s="78">
        <v>0</v>
      </c>
      <c r="E258" s="78">
        <v>0</v>
      </c>
      <c r="F258" s="78">
        <v>0</v>
      </c>
      <c r="G258" s="78"/>
      <c r="H258" s="60" t="s">
        <v>311</v>
      </c>
      <c r="I258" s="61" t="s">
        <v>67</v>
      </c>
      <c r="J258" s="80">
        <f aca="true" t="shared" si="51" ref="J258:P258">J259+J260+J261</f>
        <v>158533.4</v>
      </c>
      <c r="K258" s="80">
        <f t="shared" si="51"/>
        <v>31972.5</v>
      </c>
      <c r="L258" s="80">
        <f t="shared" si="51"/>
        <v>25508.1</v>
      </c>
      <c r="M258" s="80">
        <f t="shared" si="51"/>
        <v>28776.300000000003</v>
      </c>
      <c r="N258" s="80">
        <f t="shared" si="51"/>
        <v>28776.300000000003</v>
      </c>
      <c r="O258" s="80">
        <f t="shared" si="51"/>
        <v>29754.7</v>
      </c>
      <c r="P258" s="80">
        <f t="shared" si="51"/>
        <v>303321.3</v>
      </c>
      <c r="Q258" s="62">
        <v>2021</v>
      </c>
    </row>
    <row r="259" spans="1:17" ht="15">
      <c r="A259" s="4" t="s">
        <v>134</v>
      </c>
      <c r="B259" s="4">
        <v>1</v>
      </c>
      <c r="C259" s="4">
        <v>5</v>
      </c>
      <c r="D259" s="4">
        <v>0</v>
      </c>
      <c r="E259" s="4">
        <v>0</v>
      </c>
      <c r="F259" s="4">
        <v>0</v>
      </c>
      <c r="G259" s="4">
        <v>1</v>
      </c>
      <c r="H259" s="5" t="s">
        <v>31</v>
      </c>
      <c r="I259" s="3" t="s">
        <v>67</v>
      </c>
      <c r="J259" s="6">
        <f aca="true" t="shared" si="52" ref="J259:P259">J279</f>
        <v>12423.8</v>
      </c>
      <c r="K259" s="6">
        <f t="shared" si="52"/>
        <v>9469</v>
      </c>
      <c r="L259" s="6">
        <f t="shared" si="52"/>
        <v>7538.8</v>
      </c>
      <c r="M259" s="6">
        <f t="shared" si="52"/>
        <v>8394.1</v>
      </c>
      <c r="N259" s="6">
        <f t="shared" si="52"/>
        <v>8394.1</v>
      </c>
      <c r="O259" s="6">
        <f t="shared" si="52"/>
        <v>8679.5</v>
      </c>
      <c r="P259" s="6">
        <f t="shared" si="52"/>
        <v>54899.299999999996</v>
      </c>
      <c r="Q259" s="9">
        <v>2021</v>
      </c>
    </row>
    <row r="260" spans="1:17" ht="15">
      <c r="A260" s="4" t="s">
        <v>134</v>
      </c>
      <c r="B260" s="4">
        <v>1</v>
      </c>
      <c r="C260" s="4">
        <v>5</v>
      </c>
      <c r="D260" s="4">
        <v>0</v>
      </c>
      <c r="E260" s="4">
        <v>0</v>
      </c>
      <c r="F260" s="4">
        <v>0</v>
      </c>
      <c r="G260" s="4">
        <v>2</v>
      </c>
      <c r="H260" s="5" t="s">
        <v>32</v>
      </c>
      <c r="I260" s="3" t="s">
        <v>67</v>
      </c>
      <c r="J260" s="6">
        <f aca="true" t="shared" si="53" ref="J260:O260">J263+J280</f>
        <v>54495.9</v>
      </c>
      <c r="K260" s="6">
        <f t="shared" si="53"/>
        <v>15177.7</v>
      </c>
      <c r="L260" s="6">
        <f t="shared" si="53"/>
        <v>10389.3</v>
      </c>
      <c r="M260" s="6">
        <f t="shared" si="53"/>
        <v>12802.2</v>
      </c>
      <c r="N260" s="6">
        <f t="shared" si="53"/>
        <v>12802.2</v>
      </c>
      <c r="O260" s="6">
        <f t="shared" si="53"/>
        <v>13237.5</v>
      </c>
      <c r="P260" s="7">
        <f>SUM(J260:O260)</f>
        <v>118904.8</v>
      </c>
      <c r="Q260" s="9">
        <v>2021</v>
      </c>
    </row>
    <row r="261" spans="1:17" ht="15">
      <c r="A261" s="4" t="s">
        <v>134</v>
      </c>
      <c r="B261" s="4">
        <v>1</v>
      </c>
      <c r="C261" s="4">
        <v>5</v>
      </c>
      <c r="D261" s="4">
        <v>0</v>
      </c>
      <c r="E261" s="4">
        <v>0</v>
      </c>
      <c r="F261" s="4">
        <v>0</v>
      </c>
      <c r="G261" s="4">
        <v>3</v>
      </c>
      <c r="H261" s="5" t="s">
        <v>33</v>
      </c>
      <c r="I261" s="3" t="s">
        <v>67</v>
      </c>
      <c r="J261" s="6">
        <f aca="true" t="shared" si="54" ref="J261:O261">J264</f>
        <v>91613.7</v>
      </c>
      <c r="K261" s="6">
        <f t="shared" si="54"/>
        <v>7325.8</v>
      </c>
      <c r="L261" s="6">
        <f t="shared" si="54"/>
        <v>7580</v>
      </c>
      <c r="M261" s="6">
        <f t="shared" si="54"/>
        <v>7580</v>
      </c>
      <c r="N261" s="6">
        <f t="shared" si="54"/>
        <v>7580</v>
      </c>
      <c r="O261" s="6">
        <f t="shared" si="54"/>
        <v>7837.7</v>
      </c>
      <c r="P261" s="7">
        <f>SUM(J261:O261)</f>
        <v>129517.2</v>
      </c>
      <c r="Q261" s="9">
        <v>2021</v>
      </c>
    </row>
    <row r="262" spans="1:17" ht="15">
      <c r="A262" s="4" t="s">
        <v>134</v>
      </c>
      <c r="B262" s="4">
        <v>1</v>
      </c>
      <c r="C262" s="4">
        <v>5</v>
      </c>
      <c r="D262" s="4">
        <v>1</v>
      </c>
      <c r="E262" s="4">
        <v>0</v>
      </c>
      <c r="F262" s="4">
        <v>0</v>
      </c>
      <c r="G262" s="4"/>
      <c r="H262" s="5" t="s">
        <v>78</v>
      </c>
      <c r="I262" s="3" t="s">
        <v>67</v>
      </c>
      <c r="J262" s="6">
        <f aca="true" t="shared" si="55" ref="J262:P262">J263+J264</f>
        <v>140745.3</v>
      </c>
      <c r="K262" s="6">
        <f t="shared" si="55"/>
        <v>7325.8</v>
      </c>
      <c r="L262" s="6">
        <f t="shared" si="55"/>
        <v>7580</v>
      </c>
      <c r="M262" s="6">
        <f t="shared" si="55"/>
        <v>7580</v>
      </c>
      <c r="N262" s="6">
        <f t="shared" si="55"/>
        <v>7580</v>
      </c>
      <c r="O262" s="6">
        <f t="shared" si="55"/>
        <v>7837.7</v>
      </c>
      <c r="P262" s="6">
        <f t="shared" si="55"/>
        <v>178648.8</v>
      </c>
      <c r="Q262" s="9">
        <v>2021</v>
      </c>
    </row>
    <row r="263" spans="1:17" ht="15">
      <c r="A263" s="4" t="s">
        <v>134</v>
      </c>
      <c r="B263" s="4">
        <v>1</v>
      </c>
      <c r="C263" s="4">
        <v>5</v>
      </c>
      <c r="D263" s="4">
        <v>1</v>
      </c>
      <c r="E263" s="4">
        <v>0</v>
      </c>
      <c r="F263" s="4">
        <v>0</v>
      </c>
      <c r="G263" s="4">
        <v>2</v>
      </c>
      <c r="H263" s="5" t="s">
        <v>32</v>
      </c>
      <c r="I263" s="3" t="s">
        <v>67</v>
      </c>
      <c r="J263" s="6">
        <f>J272</f>
        <v>49131.6</v>
      </c>
      <c r="K263" s="6">
        <f aca="true" t="shared" si="56" ref="K263:P263">K272</f>
        <v>0</v>
      </c>
      <c r="L263" s="6">
        <f t="shared" si="56"/>
        <v>0</v>
      </c>
      <c r="M263" s="6">
        <f t="shared" si="56"/>
        <v>0</v>
      </c>
      <c r="N263" s="6">
        <f t="shared" si="56"/>
        <v>0</v>
      </c>
      <c r="O263" s="6">
        <f t="shared" si="56"/>
        <v>0</v>
      </c>
      <c r="P263" s="6">
        <f t="shared" si="56"/>
        <v>49131.6</v>
      </c>
      <c r="Q263" s="9">
        <v>2021</v>
      </c>
    </row>
    <row r="264" spans="1:17" ht="15">
      <c r="A264" s="4" t="s">
        <v>134</v>
      </c>
      <c r="B264" s="4">
        <v>1</v>
      </c>
      <c r="C264" s="4">
        <v>5</v>
      </c>
      <c r="D264" s="4">
        <v>1</v>
      </c>
      <c r="E264" s="4">
        <v>0</v>
      </c>
      <c r="F264" s="4">
        <v>0</v>
      </c>
      <c r="G264" s="4">
        <v>3</v>
      </c>
      <c r="H264" s="5" t="s">
        <v>33</v>
      </c>
      <c r="I264" s="3" t="s">
        <v>67</v>
      </c>
      <c r="J264" s="6">
        <f>J268+J270+J274</f>
        <v>91613.7</v>
      </c>
      <c r="K264" s="6">
        <f aca="true" t="shared" si="57" ref="K264:P264">K268+K270+K274</f>
        <v>7325.8</v>
      </c>
      <c r="L264" s="6">
        <f t="shared" si="57"/>
        <v>7580</v>
      </c>
      <c r="M264" s="6">
        <f t="shared" si="57"/>
        <v>7580</v>
      </c>
      <c r="N264" s="6">
        <f t="shared" si="57"/>
        <v>7580</v>
      </c>
      <c r="O264" s="6">
        <f t="shared" si="57"/>
        <v>7837.7</v>
      </c>
      <c r="P264" s="6">
        <f t="shared" si="57"/>
        <v>129517.2</v>
      </c>
      <c r="Q264" s="9">
        <v>2021</v>
      </c>
    </row>
    <row r="265" spans="1:17" ht="30">
      <c r="A265" s="4" t="s">
        <v>134</v>
      </c>
      <c r="B265" s="4">
        <v>1</v>
      </c>
      <c r="C265" s="4">
        <v>5</v>
      </c>
      <c r="D265" s="4">
        <v>1</v>
      </c>
      <c r="E265" s="4">
        <v>0</v>
      </c>
      <c r="F265" s="4">
        <v>0</v>
      </c>
      <c r="G265" s="4"/>
      <c r="H265" s="5" t="s">
        <v>130</v>
      </c>
      <c r="I265" s="3" t="s">
        <v>69</v>
      </c>
      <c r="J265" s="6">
        <f>расчет_показ!E121</f>
        <v>3.216785477587573</v>
      </c>
      <c r="K265" s="6">
        <f>расчет_показ!F121</f>
        <v>0</v>
      </c>
      <c r="L265" s="6">
        <f>расчет_показ!G121</f>
        <v>0</v>
      </c>
      <c r="M265" s="6">
        <f>расчет_показ!H121</f>
        <v>0</v>
      </c>
      <c r="N265" s="6">
        <f>расчет_показ!I121</f>
        <v>0</v>
      </c>
      <c r="O265" s="6">
        <f>расчет_показ!J121</f>
        <v>0</v>
      </c>
      <c r="P265" s="6">
        <v>3.2</v>
      </c>
      <c r="Q265" s="9">
        <v>2016</v>
      </c>
    </row>
    <row r="266" spans="1:17" ht="45">
      <c r="A266" s="4" t="s">
        <v>134</v>
      </c>
      <c r="B266" s="4">
        <v>1</v>
      </c>
      <c r="C266" s="4">
        <v>5</v>
      </c>
      <c r="D266" s="4">
        <v>1</v>
      </c>
      <c r="E266" s="4">
        <v>0</v>
      </c>
      <c r="F266" s="4">
        <v>0</v>
      </c>
      <c r="G266" s="4"/>
      <c r="H266" s="5" t="s">
        <v>106</v>
      </c>
      <c r="I266" s="3" t="s">
        <v>69</v>
      </c>
      <c r="J266" s="7">
        <f>расчет_показ!E124</f>
        <v>3.272727272727273</v>
      </c>
      <c r="K266" s="7">
        <f>расчет_показ!F124</f>
        <v>1.4545454545454546</v>
      </c>
      <c r="L266" s="7">
        <f>расчет_показ!G124</f>
        <v>1.090909090909091</v>
      </c>
      <c r="M266" s="7">
        <f>расчет_показ!H124</f>
        <v>1.090909090909091</v>
      </c>
      <c r="N266" s="7">
        <f>расчет_показ!I124</f>
        <v>1.090909090909091</v>
      </c>
      <c r="O266" s="7">
        <f>расчет_показ!J124</f>
        <v>1.090909090909091</v>
      </c>
      <c r="P266" s="7">
        <f>O266</f>
        <v>1.090909090909091</v>
      </c>
      <c r="Q266" s="9">
        <v>2021</v>
      </c>
    </row>
    <row r="267" spans="1:17" ht="45">
      <c r="A267" s="4" t="s">
        <v>134</v>
      </c>
      <c r="B267" s="4">
        <v>1</v>
      </c>
      <c r="C267" s="4">
        <v>5</v>
      </c>
      <c r="D267" s="4">
        <v>1</v>
      </c>
      <c r="E267" s="4">
        <v>0</v>
      </c>
      <c r="F267" s="4">
        <v>0</v>
      </c>
      <c r="G267" s="4"/>
      <c r="H267" s="5" t="s">
        <v>237</v>
      </c>
      <c r="I267" s="3" t="s">
        <v>69</v>
      </c>
      <c r="J267" s="7"/>
      <c r="K267" s="7">
        <f>расчет_показ!F127</f>
        <v>15.384615384615385</v>
      </c>
      <c r="L267" s="7">
        <f>расчет_показ!G127</f>
        <v>4.545454545454546</v>
      </c>
      <c r="M267" s="7">
        <f>расчет_показ!H127</f>
        <v>4.545454545454546</v>
      </c>
      <c r="N267" s="7">
        <f>расчет_показ!I127</f>
        <v>4.545454545454546</v>
      </c>
      <c r="O267" s="7">
        <f>расчет_показ!J127</f>
        <v>4.545454545454546</v>
      </c>
      <c r="P267" s="7">
        <f>O267</f>
        <v>4.545454545454546</v>
      </c>
      <c r="Q267" s="9">
        <v>2021</v>
      </c>
    </row>
    <row r="268" spans="1:18" ht="30">
      <c r="A268" s="4" t="s">
        <v>134</v>
      </c>
      <c r="B268" s="4">
        <v>1</v>
      </c>
      <c r="C268" s="4">
        <v>5</v>
      </c>
      <c r="D268" s="4">
        <v>1</v>
      </c>
      <c r="E268" s="4">
        <v>0</v>
      </c>
      <c r="F268" s="4">
        <v>1</v>
      </c>
      <c r="G268" s="4">
        <v>3</v>
      </c>
      <c r="H268" s="5" t="s">
        <v>338</v>
      </c>
      <c r="I268" s="3" t="s">
        <v>67</v>
      </c>
      <c r="J268" s="6">
        <f>10525.1-404.8</f>
        <v>10120.300000000001</v>
      </c>
      <c r="K268" s="6">
        <v>4390.1</v>
      </c>
      <c r="L268" s="6">
        <f>14580-10000</f>
        <v>4580</v>
      </c>
      <c r="M268" s="6">
        <f>15104.9-10524.9</f>
        <v>4580</v>
      </c>
      <c r="N268" s="6">
        <v>4580</v>
      </c>
      <c r="O268" s="88">
        <f>ROUND((N268*103.4/100),1)</f>
        <v>4735.7</v>
      </c>
      <c r="P268" s="7">
        <f>SUM(J268:O268)</f>
        <v>32986.1</v>
      </c>
      <c r="Q268" s="9">
        <v>2021</v>
      </c>
      <c r="R268" s="16" t="s">
        <v>386</v>
      </c>
    </row>
    <row r="269" spans="1:17" ht="30">
      <c r="A269" s="4" t="s">
        <v>134</v>
      </c>
      <c r="B269" s="4">
        <v>1</v>
      </c>
      <c r="C269" s="4">
        <v>5</v>
      </c>
      <c r="D269" s="4">
        <v>1</v>
      </c>
      <c r="E269" s="4">
        <v>0</v>
      </c>
      <c r="F269" s="4">
        <v>1</v>
      </c>
      <c r="G269" s="4"/>
      <c r="H269" s="5" t="s">
        <v>322</v>
      </c>
      <c r="I269" s="3" t="s">
        <v>68</v>
      </c>
      <c r="J269" s="53">
        <v>8</v>
      </c>
      <c r="K269" s="53">
        <v>4</v>
      </c>
      <c r="L269" s="53">
        <v>4</v>
      </c>
      <c r="M269" s="53">
        <v>4</v>
      </c>
      <c r="N269" s="53">
        <v>4</v>
      </c>
      <c r="O269" s="53">
        <v>4</v>
      </c>
      <c r="P269" s="85">
        <f aca="true" t="shared" si="58" ref="P269:P277">SUM(J269:O269)</f>
        <v>28</v>
      </c>
      <c r="Q269" s="9">
        <v>2021</v>
      </c>
    </row>
    <row r="270" spans="1:18" ht="60">
      <c r="A270" s="4" t="s">
        <v>134</v>
      </c>
      <c r="B270" s="4">
        <v>1</v>
      </c>
      <c r="C270" s="4">
        <v>5</v>
      </c>
      <c r="D270" s="4">
        <v>1</v>
      </c>
      <c r="E270" s="4">
        <v>0</v>
      </c>
      <c r="F270" s="4">
        <v>2</v>
      </c>
      <c r="G270" s="4">
        <v>3</v>
      </c>
      <c r="H270" s="5" t="s">
        <v>273</v>
      </c>
      <c r="I270" s="3" t="s">
        <v>67</v>
      </c>
      <c r="J270" s="6">
        <f>2981.4+0.1-0.1</f>
        <v>2981.4</v>
      </c>
      <c r="K270" s="6">
        <v>2935.7</v>
      </c>
      <c r="L270" s="6">
        <v>3000</v>
      </c>
      <c r="M270" s="6">
        <f>3108-108</f>
        <v>3000</v>
      </c>
      <c r="N270" s="6">
        <v>3000</v>
      </c>
      <c r="O270" s="88">
        <f>ROUND((N270*103.4/100),1)</f>
        <v>3102</v>
      </c>
      <c r="P270" s="7">
        <f t="shared" si="58"/>
        <v>18019.1</v>
      </c>
      <c r="Q270" s="9">
        <v>2021</v>
      </c>
      <c r="R270" s="16" t="s">
        <v>387</v>
      </c>
    </row>
    <row r="271" spans="1:17" ht="30">
      <c r="A271" s="4" t="s">
        <v>134</v>
      </c>
      <c r="B271" s="4">
        <v>1</v>
      </c>
      <c r="C271" s="4">
        <v>5</v>
      </c>
      <c r="D271" s="4">
        <v>1</v>
      </c>
      <c r="E271" s="4">
        <v>0</v>
      </c>
      <c r="F271" s="4">
        <v>2</v>
      </c>
      <c r="G271" s="4"/>
      <c r="H271" s="5" t="s">
        <v>362</v>
      </c>
      <c r="I271" s="3" t="s">
        <v>68</v>
      </c>
      <c r="J271" s="53">
        <v>2</v>
      </c>
      <c r="K271" s="53">
        <v>2</v>
      </c>
      <c r="L271" s="53">
        <v>2</v>
      </c>
      <c r="M271" s="53">
        <v>2</v>
      </c>
      <c r="N271" s="53">
        <v>2</v>
      </c>
      <c r="O271" s="53">
        <v>2</v>
      </c>
      <c r="P271" s="85">
        <f t="shared" si="58"/>
        <v>12</v>
      </c>
      <c r="Q271" s="9">
        <v>2021</v>
      </c>
    </row>
    <row r="272" spans="1:18" ht="30">
      <c r="A272" s="4" t="s">
        <v>134</v>
      </c>
      <c r="B272" s="4">
        <v>1</v>
      </c>
      <c r="C272" s="4">
        <v>5</v>
      </c>
      <c r="D272" s="4">
        <v>1</v>
      </c>
      <c r="E272" s="4">
        <v>0</v>
      </c>
      <c r="F272" s="4">
        <v>3</v>
      </c>
      <c r="G272" s="4">
        <v>2</v>
      </c>
      <c r="H272" s="5" t="s">
        <v>282</v>
      </c>
      <c r="I272" s="3" t="s">
        <v>67</v>
      </c>
      <c r="J272" s="6">
        <v>49131.6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7">
        <f t="shared" si="58"/>
        <v>49131.6</v>
      </c>
      <c r="Q272" s="9">
        <v>2016</v>
      </c>
      <c r="R272" s="16" t="s">
        <v>394</v>
      </c>
    </row>
    <row r="273" spans="1:17" ht="30">
      <c r="A273" s="4" t="s">
        <v>134</v>
      </c>
      <c r="B273" s="4">
        <v>1</v>
      </c>
      <c r="C273" s="4">
        <v>5</v>
      </c>
      <c r="D273" s="4">
        <v>1</v>
      </c>
      <c r="E273" s="4">
        <v>0</v>
      </c>
      <c r="F273" s="4">
        <v>3</v>
      </c>
      <c r="G273" s="4"/>
      <c r="H273" s="5" t="s">
        <v>80</v>
      </c>
      <c r="I273" s="3" t="s">
        <v>128</v>
      </c>
      <c r="J273" s="6">
        <v>5970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f t="shared" si="58"/>
        <v>5970</v>
      </c>
      <c r="Q273" s="9">
        <v>2016</v>
      </c>
    </row>
    <row r="274" spans="1:18" ht="30">
      <c r="A274" s="4" t="s">
        <v>134</v>
      </c>
      <c r="B274" s="4">
        <v>1</v>
      </c>
      <c r="C274" s="4">
        <v>5</v>
      </c>
      <c r="D274" s="4">
        <v>1</v>
      </c>
      <c r="E274" s="4">
        <v>0</v>
      </c>
      <c r="F274" s="4">
        <v>4</v>
      </c>
      <c r="G274" s="4">
        <v>3</v>
      </c>
      <c r="H274" s="5" t="s">
        <v>288</v>
      </c>
      <c r="I274" s="3" t="s">
        <v>67</v>
      </c>
      <c r="J274" s="6">
        <f>7255.3+70844+412.7</f>
        <v>78512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7">
        <f t="shared" si="58"/>
        <v>78512</v>
      </c>
      <c r="Q274" s="9">
        <v>2016</v>
      </c>
      <c r="R274" s="16" t="s">
        <v>395</v>
      </c>
    </row>
    <row r="275" spans="1:17" ht="30">
      <c r="A275" s="4" t="s">
        <v>134</v>
      </c>
      <c r="B275" s="4">
        <v>1</v>
      </c>
      <c r="C275" s="4">
        <v>5</v>
      </c>
      <c r="D275" s="4">
        <v>1</v>
      </c>
      <c r="E275" s="4">
        <v>0</v>
      </c>
      <c r="F275" s="4">
        <v>4</v>
      </c>
      <c r="G275" s="4"/>
      <c r="H275" s="5" t="s">
        <v>34</v>
      </c>
      <c r="I275" s="3" t="s">
        <v>66</v>
      </c>
      <c r="J275" s="7">
        <v>7063.2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f t="shared" si="58"/>
        <v>7063.2</v>
      </c>
      <c r="Q275" s="9">
        <v>2016</v>
      </c>
    </row>
    <row r="276" spans="1:17" ht="30">
      <c r="A276" s="4" t="s">
        <v>134</v>
      </c>
      <c r="B276" s="4">
        <v>1</v>
      </c>
      <c r="C276" s="4">
        <v>5</v>
      </c>
      <c r="D276" s="4">
        <v>1</v>
      </c>
      <c r="E276" s="4">
        <v>0</v>
      </c>
      <c r="F276" s="4">
        <v>4</v>
      </c>
      <c r="G276" s="4"/>
      <c r="H276" s="5" t="s">
        <v>283</v>
      </c>
      <c r="I276" s="3" t="s">
        <v>367</v>
      </c>
      <c r="J276" s="6">
        <v>9.3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f t="shared" si="58"/>
        <v>9.3</v>
      </c>
      <c r="Q276" s="9">
        <v>2016</v>
      </c>
    </row>
    <row r="277" spans="1:17" ht="30">
      <c r="A277" s="4" t="s">
        <v>134</v>
      </c>
      <c r="B277" s="4">
        <v>1</v>
      </c>
      <c r="C277" s="4">
        <v>5</v>
      </c>
      <c r="D277" s="4">
        <v>1</v>
      </c>
      <c r="E277" s="4">
        <v>0</v>
      </c>
      <c r="F277" s="4">
        <v>4</v>
      </c>
      <c r="G277" s="4"/>
      <c r="H277" s="5" t="s">
        <v>287</v>
      </c>
      <c r="I277" s="3" t="s">
        <v>66</v>
      </c>
      <c r="J277" s="6">
        <v>7360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f t="shared" si="58"/>
        <v>7360</v>
      </c>
      <c r="Q277" s="9">
        <v>2016</v>
      </c>
    </row>
    <row r="278" spans="1:17" ht="45">
      <c r="A278" s="4" t="s">
        <v>134</v>
      </c>
      <c r="B278" s="4">
        <v>1</v>
      </c>
      <c r="C278" s="4">
        <v>5</v>
      </c>
      <c r="D278" s="4">
        <v>2</v>
      </c>
      <c r="E278" s="4">
        <v>0</v>
      </c>
      <c r="F278" s="4">
        <v>0</v>
      </c>
      <c r="G278" s="4"/>
      <c r="H278" s="5" t="s">
        <v>79</v>
      </c>
      <c r="I278" s="3" t="s">
        <v>67</v>
      </c>
      <c r="J278" s="6">
        <f aca="true" t="shared" si="59" ref="J278:P278">J279+J280</f>
        <v>17788.1</v>
      </c>
      <c r="K278" s="6">
        <f t="shared" si="59"/>
        <v>24646.7</v>
      </c>
      <c r="L278" s="6">
        <f t="shared" si="59"/>
        <v>17928.1</v>
      </c>
      <c r="M278" s="6">
        <f t="shared" si="59"/>
        <v>21196.300000000003</v>
      </c>
      <c r="N278" s="6">
        <f t="shared" si="59"/>
        <v>21196.300000000003</v>
      </c>
      <c r="O278" s="6">
        <f t="shared" si="59"/>
        <v>21917</v>
      </c>
      <c r="P278" s="6">
        <f t="shared" si="59"/>
        <v>124672.5</v>
      </c>
      <c r="Q278" s="9">
        <v>2021</v>
      </c>
    </row>
    <row r="279" spans="1:17" ht="15">
      <c r="A279" s="4" t="s">
        <v>134</v>
      </c>
      <c r="B279" s="4">
        <v>1</v>
      </c>
      <c r="C279" s="4">
        <v>5</v>
      </c>
      <c r="D279" s="4">
        <v>2</v>
      </c>
      <c r="E279" s="4">
        <v>0</v>
      </c>
      <c r="F279" s="4">
        <v>0</v>
      </c>
      <c r="G279" s="4">
        <v>1</v>
      </c>
      <c r="H279" s="5" t="s">
        <v>31</v>
      </c>
      <c r="I279" s="3" t="s">
        <v>67</v>
      </c>
      <c r="J279" s="6">
        <f aca="true" t="shared" si="60" ref="J279:O280">J286</f>
        <v>12423.8</v>
      </c>
      <c r="K279" s="6">
        <f t="shared" si="60"/>
        <v>9469</v>
      </c>
      <c r="L279" s="6">
        <f t="shared" si="60"/>
        <v>7538.8</v>
      </c>
      <c r="M279" s="6">
        <f t="shared" si="60"/>
        <v>8394.1</v>
      </c>
      <c r="N279" s="6">
        <f t="shared" si="60"/>
        <v>8394.1</v>
      </c>
      <c r="O279" s="6">
        <f t="shared" si="60"/>
        <v>8679.5</v>
      </c>
      <c r="P279" s="7">
        <f>SUM(J279:O279)</f>
        <v>54899.299999999996</v>
      </c>
      <c r="Q279" s="9">
        <v>2021</v>
      </c>
    </row>
    <row r="280" spans="1:17" ht="15">
      <c r="A280" s="4" t="s">
        <v>134</v>
      </c>
      <c r="B280" s="4">
        <v>1</v>
      </c>
      <c r="C280" s="4">
        <v>5</v>
      </c>
      <c r="D280" s="4">
        <v>2</v>
      </c>
      <c r="E280" s="4">
        <v>0</v>
      </c>
      <c r="F280" s="4">
        <v>0</v>
      </c>
      <c r="G280" s="4">
        <v>2</v>
      </c>
      <c r="H280" s="5" t="s">
        <v>32</v>
      </c>
      <c r="I280" s="3" t="s">
        <v>67</v>
      </c>
      <c r="J280" s="6">
        <f t="shared" si="60"/>
        <v>5364.3</v>
      </c>
      <c r="K280" s="6">
        <f t="shared" si="60"/>
        <v>15177.7</v>
      </c>
      <c r="L280" s="6">
        <f t="shared" si="60"/>
        <v>10389.3</v>
      </c>
      <c r="M280" s="6">
        <f t="shared" si="60"/>
        <v>12802.2</v>
      </c>
      <c r="N280" s="6">
        <f t="shared" si="60"/>
        <v>12802.2</v>
      </c>
      <c r="O280" s="6">
        <f t="shared" si="60"/>
        <v>13237.5</v>
      </c>
      <c r="P280" s="6">
        <f>P287</f>
        <v>69773.2</v>
      </c>
      <c r="Q280" s="9">
        <v>2021</v>
      </c>
    </row>
    <row r="281" spans="1:17" ht="60">
      <c r="A281" s="4" t="s">
        <v>134</v>
      </c>
      <c r="B281" s="4">
        <v>1</v>
      </c>
      <c r="C281" s="4">
        <v>5</v>
      </c>
      <c r="D281" s="4">
        <v>2</v>
      </c>
      <c r="E281" s="4">
        <v>0</v>
      </c>
      <c r="F281" s="4">
        <v>0</v>
      </c>
      <c r="G281" s="4"/>
      <c r="H281" s="5" t="s">
        <v>112</v>
      </c>
      <c r="I281" s="4" t="s">
        <v>69</v>
      </c>
      <c r="J281" s="25">
        <f>расчет_показ!E130</f>
        <v>0.08047901107391192</v>
      </c>
      <c r="K281" s="25">
        <f>расчет_показ!F130</f>
        <v>0.016097875080489377</v>
      </c>
      <c r="L281" s="25">
        <f>расчет_показ!G130</f>
        <v>0.08051789107539695</v>
      </c>
      <c r="M281" s="25">
        <f>расчет_показ!H130</f>
        <v>0.08051789107539695</v>
      </c>
      <c r="N281" s="25">
        <f>расчет_показ!I130</f>
        <v>0.08051789107539695</v>
      </c>
      <c r="O281" s="25">
        <f>расчет_показ!J130</f>
        <v>0.08051789107539695</v>
      </c>
      <c r="P281" s="25">
        <f>O281</f>
        <v>0.08051789107539695</v>
      </c>
      <c r="Q281" s="9">
        <v>2021</v>
      </c>
    </row>
    <row r="282" spans="1:17" ht="37.5" customHeight="1">
      <c r="A282" s="4" t="s">
        <v>134</v>
      </c>
      <c r="B282" s="4">
        <v>1</v>
      </c>
      <c r="C282" s="4">
        <v>5</v>
      </c>
      <c r="D282" s="4">
        <v>2</v>
      </c>
      <c r="E282" s="4">
        <v>0</v>
      </c>
      <c r="F282" s="4">
        <v>0</v>
      </c>
      <c r="G282" s="4"/>
      <c r="H282" s="5" t="s">
        <v>433</v>
      </c>
      <c r="I282" s="4" t="s">
        <v>69</v>
      </c>
      <c r="J282" s="6">
        <f>расчет_показ!E133</f>
        <v>7.352941176470589</v>
      </c>
      <c r="K282" s="6">
        <f>расчет_показ!F133</f>
        <v>6.25</v>
      </c>
      <c r="L282" s="6">
        <f>расчет_показ!G133</f>
        <v>5.844155844155844</v>
      </c>
      <c r="M282" s="6">
        <f>расчет_показ!H133</f>
        <v>7.586206896551724</v>
      </c>
      <c r="N282" s="6">
        <f>расчет_показ!I133</f>
        <v>8.02919708029197</v>
      </c>
      <c r="O282" s="6">
        <f>расчет_показ!J133</f>
        <v>8.527131782945736</v>
      </c>
      <c r="P282" s="6">
        <f>O282</f>
        <v>8.527131782945736</v>
      </c>
      <c r="Q282" s="9">
        <v>2021</v>
      </c>
    </row>
    <row r="283" spans="1:18" ht="45">
      <c r="A283" s="4" t="s">
        <v>134</v>
      </c>
      <c r="B283" s="4">
        <v>1</v>
      </c>
      <c r="C283" s="4">
        <v>5</v>
      </c>
      <c r="D283" s="4">
        <v>2</v>
      </c>
      <c r="E283" s="4">
        <v>0</v>
      </c>
      <c r="F283" s="4">
        <v>1</v>
      </c>
      <c r="G283" s="4"/>
      <c r="H283" s="5" t="s">
        <v>27</v>
      </c>
      <c r="I283" s="3" t="s">
        <v>56</v>
      </c>
      <c r="J283" s="7" t="s">
        <v>70</v>
      </c>
      <c r="K283" s="7" t="s">
        <v>70</v>
      </c>
      <c r="L283" s="7" t="s">
        <v>70</v>
      </c>
      <c r="M283" s="7" t="s">
        <v>70</v>
      </c>
      <c r="N283" s="7" t="s">
        <v>70</v>
      </c>
      <c r="O283" s="7" t="s">
        <v>70</v>
      </c>
      <c r="P283" s="7" t="s">
        <v>70</v>
      </c>
      <c r="Q283" s="9">
        <v>2021</v>
      </c>
      <c r="R283" s="16" t="s">
        <v>399</v>
      </c>
    </row>
    <row r="284" spans="1:17" ht="30">
      <c r="A284" s="4" t="s">
        <v>134</v>
      </c>
      <c r="B284" s="4">
        <v>1</v>
      </c>
      <c r="C284" s="4">
        <v>5</v>
      </c>
      <c r="D284" s="4">
        <v>2</v>
      </c>
      <c r="E284" s="4">
        <v>0</v>
      </c>
      <c r="F284" s="4">
        <v>1</v>
      </c>
      <c r="G284" s="4"/>
      <c r="H284" s="5" t="s">
        <v>263</v>
      </c>
      <c r="I284" s="3" t="s">
        <v>68</v>
      </c>
      <c r="J284" s="53">
        <v>5</v>
      </c>
      <c r="K284" s="53">
        <v>1</v>
      </c>
      <c r="L284" s="53">
        <v>5</v>
      </c>
      <c r="M284" s="53">
        <v>5</v>
      </c>
      <c r="N284" s="53">
        <v>5</v>
      </c>
      <c r="O284" s="53">
        <v>5</v>
      </c>
      <c r="P284" s="85">
        <f>SUM(J284:O284)</f>
        <v>26</v>
      </c>
      <c r="Q284" s="9">
        <v>2021</v>
      </c>
    </row>
    <row r="285" spans="1:18" ht="30">
      <c r="A285" s="4" t="s">
        <v>134</v>
      </c>
      <c r="B285" s="4">
        <v>1</v>
      </c>
      <c r="C285" s="4">
        <v>5</v>
      </c>
      <c r="D285" s="4">
        <v>2</v>
      </c>
      <c r="E285" s="4">
        <v>0</v>
      </c>
      <c r="F285" s="4">
        <v>2</v>
      </c>
      <c r="G285" s="4"/>
      <c r="H285" s="5" t="s">
        <v>424</v>
      </c>
      <c r="I285" s="3" t="s">
        <v>67</v>
      </c>
      <c r="J285" s="6">
        <f aca="true" t="shared" si="61" ref="J285:P285">J287+J286</f>
        <v>17788.1</v>
      </c>
      <c r="K285" s="6">
        <f t="shared" si="61"/>
        <v>24646.7</v>
      </c>
      <c r="L285" s="6">
        <f t="shared" si="61"/>
        <v>17928.1</v>
      </c>
      <c r="M285" s="6">
        <f t="shared" si="61"/>
        <v>21196.300000000003</v>
      </c>
      <c r="N285" s="6">
        <f t="shared" si="61"/>
        <v>21196.300000000003</v>
      </c>
      <c r="O285" s="6">
        <f t="shared" si="61"/>
        <v>21917</v>
      </c>
      <c r="P285" s="6">
        <f t="shared" si="61"/>
        <v>124672.5</v>
      </c>
      <c r="Q285" s="9">
        <v>2021</v>
      </c>
      <c r="R285" s="16" t="s">
        <v>400</v>
      </c>
    </row>
    <row r="286" spans="1:17" ht="15">
      <c r="A286" s="4" t="s">
        <v>134</v>
      </c>
      <c r="B286" s="4">
        <v>1</v>
      </c>
      <c r="C286" s="4">
        <v>5</v>
      </c>
      <c r="D286" s="4">
        <v>2</v>
      </c>
      <c r="E286" s="4">
        <v>0</v>
      </c>
      <c r="F286" s="4">
        <v>2</v>
      </c>
      <c r="G286" s="4">
        <v>1</v>
      </c>
      <c r="H286" s="5" t="s">
        <v>31</v>
      </c>
      <c r="I286" s="3" t="s">
        <v>67</v>
      </c>
      <c r="J286" s="88">
        <v>12423.8</v>
      </c>
      <c r="K286" s="88">
        <v>9469</v>
      </c>
      <c r="L286" s="88">
        <v>7538.8</v>
      </c>
      <c r="M286" s="88">
        <v>8394.1</v>
      </c>
      <c r="N286" s="88">
        <v>8394.1</v>
      </c>
      <c r="O286" s="88">
        <f>ROUND((N286*103.4/100),1)</f>
        <v>8679.5</v>
      </c>
      <c r="P286" s="6">
        <f>SUM(J286:O286)</f>
        <v>54899.299999999996</v>
      </c>
      <c r="Q286" s="9">
        <v>2021</v>
      </c>
    </row>
    <row r="287" spans="1:17" ht="15">
      <c r="A287" s="4" t="s">
        <v>134</v>
      </c>
      <c r="B287" s="4">
        <v>1</v>
      </c>
      <c r="C287" s="4">
        <v>5</v>
      </c>
      <c r="D287" s="4">
        <v>2</v>
      </c>
      <c r="E287" s="4">
        <v>0</v>
      </c>
      <c r="F287" s="4">
        <v>2</v>
      </c>
      <c r="G287" s="4">
        <v>2</v>
      </c>
      <c r="H287" s="5" t="s">
        <v>32</v>
      </c>
      <c r="I287" s="3" t="s">
        <v>67</v>
      </c>
      <c r="J287" s="100">
        <f>39+5325.3</f>
        <v>5364.3</v>
      </c>
      <c r="K287" s="101">
        <f>7611.5+7566.2</f>
        <v>15177.7</v>
      </c>
      <c r="L287" s="109">
        <f>4364.3+6025</f>
        <v>10389.3</v>
      </c>
      <c r="M287" s="101">
        <f>6093.6+6708.6</f>
        <v>12802.2</v>
      </c>
      <c r="N287" s="101">
        <f>6093.6+6708.6</f>
        <v>12802.2</v>
      </c>
      <c r="O287" s="88">
        <f>ROUND((N287*103.4/100),1)</f>
        <v>13237.5</v>
      </c>
      <c r="P287" s="6">
        <f>SUM(J287:O287)</f>
        <v>69773.2</v>
      </c>
      <c r="Q287" s="9">
        <v>2021</v>
      </c>
    </row>
    <row r="288" spans="1:17" ht="27.75" customHeight="1">
      <c r="A288" s="4" t="s">
        <v>134</v>
      </c>
      <c r="B288" s="4">
        <v>1</v>
      </c>
      <c r="C288" s="4">
        <v>5</v>
      </c>
      <c r="D288" s="4">
        <v>2</v>
      </c>
      <c r="E288" s="4">
        <v>0</v>
      </c>
      <c r="F288" s="4">
        <v>2</v>
      </c>
      <c r="G288" s="4"/>
      <c r="H288" s="5" t="s">
        <v>262</v>
      </c>
      <c r="I288" s="3" t="s">
        <v>68</v>
      </c>
      <c r="J288" s="53">
        <v>10</v>
      </c>
      <c r="K288" s="85">
        <v>13</v>
      </c>
      <c r="L288" s="85">
        <f>ROUND(L285/1904,0)</f>
        <v>9</v>
      </c>
      <c r="M288" s="85">
        <f>ROUND(M285/1904,0)</f>
        <v>11</v>
      </c>
      <c r="N288" s="85">
        <f>ROUND(N285/1904,0)</f>
        <v>11</v>
      </c>
      <c r="O288" s="85">
        <v>11</v>
      </c>
      <c r="P288" s="85">
        <f>SUM(J288:O288)</f>
        <v>65</v>
      </c>
      <c r="Q288" s="9">
        <v>2021</v>
      </c>
    </row>
    <row r="289" spans="1:18" ht="45">
      <c r="A289" s="4" t="s">
        <v>134</v>
      </c>
      <c r="B289" s="4">
        <v>1</v>
      </c>
      <c r="C289" s="4">
        <v>5</v>
      </c>
      <c r="D289" s="4">
        <v>2</v>
      </c>
      <c r="E289" s="4">
        <v>0</v>
      </c>
      <c r="F289" s="4">
        <v>3</v>
      </c>
      <c r="G289" s="4"/>
      <c r="H289" s="5" t="s">
        <v>328</v>
      </c>
      <c r="I289" s="3" t="s">
        <v>56</v>
      </c>
      <c r="J289" s="6" t="s">
        <v>70</v>
      </c>
      <c r="K289" s="6" t="s">
        <v>70</v>
      </c>
      <c r="L289" s="8" t="s">
        <v>70</v>
      </c>
      <c r="M289" s="6" t="s">
        <v>70</v>
      </c>
      <c r="N289" s="6" t="s">
        <v>70</v>
      </c>
      <c r="O289" s="6" t="s">
        <v>70</v>
      </c>
      <c r="P289" s="6" t="s">
        <v>70</v>
      </c>
      <c r="Q289" s="9">
        <v>2021</v>
      </c>
      <c r="R289" s="16" t="s">
        <v>402</v>
      </c>
    </row>
    <row r="290" spans="1:17" ht="15">
      <c r="A290" s="4" t="s">
        <v>134</v>
      </c>
      <c r="B290" s="4">
        <v>1</v>
      </c>
      <c r="C290" s="4">
        <v>5</v>
      </c>
      <c r="D290" s="4">
        <v>2</v>
      </c>
      <c r="E290" s="4">
        <v>0</v>
      </c>
      <c r="F290" s="4">
        <v>3</v>
      </c>
      <c r="G290" s="4"/>
      <c r="H290" s="5" t="s">
        <v>259</v>
      </c>
      <c r="I290" s="3" t="s">
        <v>68</v>
      </c>
      <c r="J290" s="53">
        <v>10</v>
      </c>
      <c r="K290" s="85">
        <v>13</v>
      </c>
      <c r="L290" s="85">
        <v>9</v>
      </c>
      <c r="M290" s="85">
        <v>11</v>
      </c>
      <c r="N290" s="85">
        <v>11</v>
      </c>
      <c r="O290" s="85">
        <v>11</v>
      </c>
      <c r="P290" s="85">
        <f aca="true" t="shared" si="62" ref="P290:P296">SUM(J290:O290)</f>
        <v>65</v>
      </c>
      <c r="Q290" s="9">
        <v>2021</v>
      </c>
    </row>
    <row r="291" spans="1:17" ht="15">
      <c r="A291" s="63" t="s">
        <v>134</v>
      </c>
      <c r="B291" s="63">
        <v>1</v>
      </c>
      <c r="C291" s="63">
        <v>9</v>
      </c>
      <c r="D291" s="63">
        <v>0</v>
      </c>
      <c r="E291" s="63">
        <v>0</v>
      </c>
      <c r="F291" s="63">
        <v>0</v>
      </c>
      <c r="G291" s="31"/>
      <c r="H291" s="60" t="s">
        <v>274</v>
      </c>
      <c r="I291" s="61" t="s">
        <v>67</v>
      </c>
      <c r="J291" s="64">
        <f aca="true" t="shared" si="63" ref="J291:O291">J293</f>
        <v>364542.5</v>
      </c>
      <c r="K291" s="64">
        <f t="shared" si="63"/>
        <v>0</v>
      </c>
      <c r="L291" s="64">
        <f t="shared" si="63"/>
        <v>0</v>
      </c>
      <c r="M291" s="64">
        <f t="shared" si="63"/>
        <v>0</v>
      </c>
      <c r="N291" s="64">
        <f t="shared" si="63"/>
        <v>0</v>
      </c>
      <c r="O291" s="64">
        <f t="shared" si="63"/>
        <v>0</v>
      </c>
      <c r="P291" s="79">
        <f t="shared" si="62"/>
        <v>364542.5</v>
      </c>
      <c r="Q291" s="62">
        <v>2016</v>
      </c>
    </row>
    <row r="292" spans="1:17" ht="15">
      <c r="A292" s="31" t="s">
        <v>134</v>
      </c>
      <c r="B292" s="31">
        <v>1</v>
      </c>
      <c r="C292" s="31">
        <v>9</v>
      </c>
      <c r="D292" s="31">
        <v>0</v>
      </c>
      <c r="E292" s="31">
        <v>0</v>
      </c>
      <c r="F292" s="31">
        <v>0</v>
      </c>
      <c r="G292" s="31">
        <v>5</v>
      </c>
      <c r="H292" s="5" t="s">
        <v>137</v>
      </c>
      <c r="I292" s="3" t="s">
        <v>67</v>
      </c>
      <c r="J292" s="13">
        <f aca="true" t="shared" si="64" ref="J292:O293">J294</f>
        <v>364542.5</v>
      </c>
      <c r="K292" s="13">
        <f t="shared" si="64"/>
        <v>0</v>
      </c>
      <c r="L292" s="13">
        <f t="shared" si="64"/>
        <v>0</v>
      </c>
      <c r="M292" s="13">
        <f t="shared" si="64"/>
        <v>0</v>
      </c>
      <c r="N292" s="13">
        <f t="shared" si="64"/>
        <v>0</v>
      </c>
      <c r="O292" s="13">
        <f t="shared" si="64"/>
        <v>0</v>
      </c>
      <c r="P292" s="7">
        <f t="shared" si="62"/>
        <v>364542.5</v>
      </c>
      <c r="Q292" s="9">
        <v>2016</v>
      </c>
    </row>
    <row r="293" spans="1:17" ht="30">
      <c r="A293" s="31" t="s">
        <v>134</v>
      </c>
      <c r="B293" s="31">
        <v>1</v>
      </c>
      <c r="C293" s="31">
        <v>9</v>
      </c>
      <c r="D293" s="31">
        <v>1</v>
      </c>
      <c r="E293" s="31">
        <v>0</v>
      </c>
      <c r="F293" s="31">
        <v>0</v>
      </c>
      <c r="G293" s="31"/>
      <c r="H293" s="5" t="s">
        <v>178</v>
      </c>
      <c r="I293" s="3" t="s">
        <v>67</v>
      </c>
      <c r="J293" s="13">
        <f t="shared" si="64"/>
        <v>364542.5</v>
      </c>
      <c r="K293" s="13">
        <f t="shared" si="64"/>
        <v>0</v>
      </c>
      <c r="L293" s="13">
        <f t="shared" si="64"/>
        <v>0</v>
      </c>
      <c r="M293" s="13">
        <f t="shared" si="64"/>
        <v>0</v>
      </c>
      <c r="N293" s="13">
        <f t="shared" si="64"/>
        <v>0</v>
      </c>
      <c r="O293" s="13">
        <f t="shared" si="64"/>
        <v>0</v>
      </c>
      <c r="P293" s="7">
        <f t="shared" si="62"/>
        <v>364542.5</v>
      </c>
      <c r="Q293" s="4">
        <v>2016</v>
      </c>
    </row>
    <row r="294" spans="1:17" ht="15">
      <c r="A294" s="31" t="s">
        <v>134</v>
      </c>
      <c r="B294" s="31">
        <v>1</v>
      </c>
      <c r="C294" s="31">
        <v>9</v>
      </c>
      <c r="D294" s="31">
        <v>1</v>
      </c>
      <c r="E294" s="31">
        <v>0</v>
      </c>
      <c r="F294" s="31">
        <v>0</v>
      </c>
      <c r="G294" s="31">
        <v>5</v>
      </c>
      <c r="H294" s="5" t="s">
        <v>137</v>
      </c>
      <c r="I294" s="3" t="s">
        <v>67</v>
      </c>
      <c r="J294" s="13">
        <f>J296</f>
        <v>364542.5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7">
        <f t="shared" si="62"/>
        <v>364542.5</v>
      </c>
      <c r="Q294" s="9">
        <v>2016</v>
      </c>
    </row>
    <row r="295" spans="1:17" ht="60">
      <c r="A295" s="31" t="s">
        <v>134</v>
      </c>
      <c r="B295" s="31">
        <v>1</v>
      </c>
      <c r="C295" s="31">
        <v>9</v>
      </c>
      <c r="D295" s="31">
        <v>1</v>
      </c>
      <c r="E295" s="31">
        <v>0</v>
      </c>
      <c r="F295" s="31">
        <v>1</v>
      </c>
      <c r="G295" s="31">
        <v>5</v>
      </c>
      <c r="H295" s="5" t="s">
        <v>275</v>
      </c>
      <c r="I295" s="3" t="s">
        <v>67</v>
      </c>
      <c r="J295" s="13">
        <f aca="true" t="shared" si="65" ref="J295:O295">J296</f>
        <v>364542.5</v>
      </c>
      <c r="K295" s="13">
        <f t="shared" si="65"/>
        <v>0</v>
      </c>
      <c r="L295" s="13">
        <f t="shared" si="65"/>
        <v>0</v>
      </c>
      <c r="M295" s="13">
        <f t="shared" si="65"/>
        <v>0</v>
      </c>
      <c r="N295" s="13">
        <f t="shared" si="65"/>
        <v>0</v>
      </c>
      <c r="O295" s="13">
        <f t="shared" si="65"/>
        <v>0</v>
      </c>
      <c r="P295" s="7">
        <f t="shared" si="62"/>
        <v>364542.5</v>
      </c>
      <c r="Q295" s="9">
        <v>2016</v>
      </c>
    </row>
    <row r="296" spans="1:17" ht="15">
      <c r="A296" s="31" t="s">
        <v>134</v>
      </c>
      <c r="B296" s="31">
        <v>1</v>
      </c>
      <c r="C296" s="31">
        <v>9</v>
      </c>
      <c r="D296" s="31">
        <v>1</v>
      </c>
      <c r="E296" s="31">
        <v>0</v>
      </c>
      <c r="F296" s="31">
        <v>0</v>
      </c>
      <c r="G296" s="31">
        <v>5</v>
      </c>
      <c r="H296" s="5" t="s">
        <v>137</v>
      </c>
      <c r="I296" s="3" t="s">
        <v>67</v>
      </c>
      <c r="J296" s="13">
        <f>364542.4+0.1</f>
        <v>364542.5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7">
        <f t="shared" si="62"/>
        <v>364542.5</v>
      </c>
      <c r="Q296" s="9">
        <v>2016</v>
      </c>
    </row>
    <row r="297" spans="1:17" ht="15">
      <c r="A297" s="31" t="s">
        <v>134</v>
      </c>
      <c r="B297" s="3">
        <v>1</v>
      </c>
      <c r="C297" s="3">
        <v>9</v>
      </c>
      <c r="D297" s="3">
        <v>2</v>
      </c>
      <c r="E297" s="3">
        <v>0</v>
      </c>
      <c r="F297" s="3">
        <v>0</v>
      </c>
      <c r="G297" s="3"/>
      <c r="H297" s="56" t="s">
        <v>276</v>
      </c>
      <c r="I297" s="3" t="s">
        <v>56</v>
      </c>
      <c r="J297" s="55" t="s">
        <v>70</v>
      </c>
      <c r="K297" s="55" t="s">
        <v>70</v>
      </c>
      <c r="L297" s="13" t="s">
        <v>361</v>
      </c>
      <c r="M297" s="55" t="s">
        <v>361</v>
      </c>
      <c r="N297" s="55" t="s">
        <v>361</v>
      </c>
      <c r="O297" s="55" t="s">
        <v>361</v>
      </c>
      <c r="P297" s="55" t="s">
        <v>70</v>
      </c>
      <c r="Q297" s="9">
        <v>2017</v>
      </c>
    </row>
    <row r="298" spans="1:17" ht="45">
      <c r="A298" s="31" t="s">
        <v>134</v>
      </c>
      <c r="B298" s="3">
        <v>1</v>
      </c>
      <c r="C298" s="3">
        <v>9</v>
      </c>
      <c r="D298" s="3">
        <v>2</v>
      </c>
      <c r="E298" s="3">
        <v>0</v>
      </c>
      <c r="F298" s="3">
        <v>1</v>
      </c>
      <c r="G298" s="3"/>
      <c r="H298" s="56" t="s">
        <v>331</v>
      </c>
      <c r="I298" s="3" t="s">
        <v>56</v>
      </c>
      <c r="J298" s="55" t="s">
        <v>70</v>
      </c>
      <c r="K298" s="55" t="s">
        <v>70</v>
      </c>
      <c r="L298" s="13" t="s">
        <v>361</v>
      </c>
      <c r="M298" s="55" t="s">
        <v>361</v>
      </c>
      <c r="N298" s="55" t="s">
        <v>361</v>
      </c>
      <c r="O298" s="55" t="s">
        <v>361</v>
      </c>
      <c r="P298" s="55" t="s">
        <v>361</v>
      </c>
      <c r="Q298" s="9">
        <v>2017</v>
      </c>
    </row>
    <row r="299" spans="1:17" ht="15">
      <c r="A299" s="31" t="s">
        <v>134</v>
      </c>
      <c r="B299" s="3">
        <v>1</v>
      </c>
      <c r="C299" s="3">
        <v>9</v>
      </c>
      <c r="D299" s="3">
        <v>2</v>
      </c>
      <c r="E299" s="3">
        <v>0</v>
      </c>
      <c r="F299" s="3">
        <v>1</v>
      </c>
      <c r="G299" s="3"/>
      <c r="H299" s="56" t="s">
        <v>277</v>
      </c>
      <c r="I299" s="3" t="s">
        <v>278</v>
      </c>
      <c r="J299" s="87">
        <v>4</v>
      </c>
      <c r="K299" s="87">
        <v>4</v>
      </c>
      <c r="L299" s="87">
        <v>0</v>
      </c>
      <c r="M299" s="87">
        <v>0</v>
      </c>
      <c r="N299" s="87">
        <v>0</v>
      </c>
      <c r="O299" s="87">
        <v>0</v>
      </c>
      <c r="P299" s="96">
        <f>SUM(J299:O299)</f>
        <v>8</v>
      </c>
      <c r="Q299" s="9">
        <v>2017</v>
      </c>
    </row>
    <row r="300" spans="1:17" ht="45">
      <c r="A300" s="31" t="s">
        <v>134</v>
      </c>
      <c r="B300" s="3">
        <v>1</v>
      </c>
      <c r="C300" s="3">
        <v>9</v>
      </c>
      <c r="D300" s="3">
        <v>2</v>
      </c>
      <c r="E300" s="3">
        <v>0</v>
      </c>
      <c r="F300" s="3">
        <v>2</v>
      </c>
      <c r="G300" s="84"/>
      <c r="H300" s="56" t="s">
        <v>279</v>
      </c>
      <c r="I300" s="3" t="s">
        <v>56</v>
      </c>
      <c r="J300" s="55" t="s">
        <v>70</v>
      </c>
      <c r="K300" s="55" t="s">
        <v>70</v>
      </c>
      <c r="L300" s="13" t="s">
        <v>361</v>
      </c>
      <c r="M300" s="55" t="s">
        <v>361</v>
      </c>
      <c r="N300" s="55" t="s">
        <v>361</v>
      </c>
      <c r="O300" s="55" t="s">
        <v>361</v>
      </c>
      <c r="P300" s="55" t="s">
        <v>361</v>
      </c>
      <c r="Q300" s="9">
        <v>2017</v>
      </c>
    </row>
    <row r="301" spans="1:17" ht="15">
      <c r="A301" s="31" t="s">
        <v>134</v>
      </c>
      <c r="B301" s="3">
        <v>1</v>
      </c>
      <c r="C301" s="3">
        <v>9</v>
      </c>
      <c r="D301" s="3">
        <v>2</v>
      </c>
      <c r="E301" s="3">
        <v>0</v>
      </c>
      <c r="F301" s="3">
        <v>2</v>
      </c>
      <c r="G301" s="3"/>
      <c r="H301" s="56" t="s">
        <v>280</v>
      </c>
      <c r="I301" s="3" t="s">
        <v>278</v>
      </c>
      <c r="J301" s="87">
        <v>12</v>
      </c>
      <c r="K301" s="87">
        <v>12</v>
      </c>
      <c r="L301" s="87">
        <v>0</v>
      </c>
      <c r="M301" s="87">
        <v>0</v>
      </c>
      <c r="N301" s="87">
        <v>0</v>
      </c>
      <c r="O301" s="87">
        <v>0</v>
      </c>
      <c r="P301" s="96">
        <f>SUM(J301:O301)</f>
        <v>24</v>
      </c>
      <c r="Q301" s="9">
        <v>2017</v>
      </c>
    </row>
    <row r="302" spans="1:9" ht="15.75">
      <c r="A302" s="51" t="s">
        <v>177</v>
      </c>
      <c r="B302" s="1"/>
      <c r="C302" s="1"/>
      <c r="D302" s="1"/>
      <c r="E302" s="1"/>
      <c r="F302" s="1"/>
      <c r="G302" s="1"/>
      <c r="H302" s="1"/>
      <c r="I302" s="1"/>
    </row>
    <row r="303" spans="1:9" ht="15.75">
      <c r="A303" s="51" t="s">
        <v>176</v>
      </c>
      <c r="B303" s="1"/>
      <c r="C303" s="1"/>
      <c r="D303" s="1"/>
      <c r="E303" s="1"/>
      <c r="F303" s="1"/>
      <c r="G303" s="1"/>
      <c r="H303" s="1"/>
      <c r="I303" s="1"/>
    </row>
    <row r="304" spans="2:17" ht="12.75" hidden="1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 ht="12.75" hidden="1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4" spans="1:18" ht="12.75">
      <c r="A324" s="1" t="s">
        <v>312</v>
      </c>
      <c r="R324" s="57" t="b">
        <f>SUM(J291:O291)+SUM(J285:O285)+SUM(J262:O262)+SUM(J238:O238)+SUM(J197:O197)+SUM(J72:O72)+SUM(J35:O35)=P21</f>
        <v>1</v>
      </c>
    </row>
    <row r="325" ht="12.75">
      <c r="A325" s="1" t="s">
        <v>74</v>
      </c>
    </row>
    <row r="326" spans="12:14" ht="12.75">
      <c r="L326" s="115">
        <f>L198+L75+L37</f>
        <v>359653.7</v>
      </c>
      <c r="M326" s="115">
        <f>M198+M75+M37</f>
        <v>405192.6</v>
      </c>
      <c r="N326" s="115">
        <f>N198+N75+N37</f>
        <v>422138.3</v>
      </c>
    </row>
  </sheetData>
  <sheetProtection/>
  <autoFilter ref="A20:R303"/>
  <mergeCells count="13">
    <mergeCell ref="A12:Q16"/>
    <mergeCell ref="F11:Q11"/>
    <mergeCell ref="A7:Q7"/>
    <mergeCell ref="A8:Q8"/>
    <mergeCell ref="A10:Q10"/>
    <mergeCell ref="F9:Q9"/>
    <mergeCell ref="J18:O18"/>
    <mergeCell ref="G18:G19"/>
    <mergeCell ref="A18:F18"/>
    <mergeCell ref="P18:Q18"/>
    <mergeCell ref="E19:F19"/>
    <mergeCell ref="I18:I19"/>
    <mergeCell ref="H18:H19"/>
  </mergeCells>
  <printOptions/>
  <pageMargins left="0.3937007874015748" right="0.3937007874015748" top="0.7874015748031497" bottom="0.3937007874015748" header="0.5118110236220472" footer="0.31496062992125984"/>
  <pageSetup fitToHeight="0" fitToWidth="1" horizontalDpi="600" verticalDpi="600" orientation="landscape" paperSize="9" scale="74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L137"/>
  <sheetViews>
    <sheetView view="pageBreakPreview" zoomScale="98" zoomScaleSheetLayoutView="98" zoomScalePageLayoutView="0" workbookViewId="0" topLeftCell="A1">
      <selection activeCell="C114" sqref="C114"/>
    </sheetView>
  </sheetViews>
  <sheetFormatPr defaultColWidth="9.00390625" defaultRowHeight="12.75"/>
  <cols>
    <col min="1" max="1" width="39.125" style="66" customWidth="1"/>
    <col min="2" max="2" width="6.25390625" style="66" customWidth="1"/>
    <col min="3" max="3" width="45.00390625" style="66" customWidth="1"/>
    <col min="4" max="4" width="12.375" style="66" customWidth="1"/>
    <col min="5" max="5" width="11.25390625" style="66" customWidth="1"/>
    <col min="6" max="6" width="11.625" style="66" customWidth="1"/>
    <col min="7" max="7" width="12.125" style="66" customWidth="1"/>
    <col min="8" max="8" width="11.625" style="66" customWidth="1"/>
    <col min="9" max="9" width="11.125" style="66" customWidth="1"/>
    <col min="10" max="10" width="11.00390625" style="66" customWidth="1"/>
    <col min="11" max="11" width="8.75390625" style="108" customWidth="1"/>
    <col min="12" max="16384" width="9.125" style="66" customWidth="1"/>
  </cols>
  <sheetData>
    <row r="1" spans="1:10" ht="12.75">
      <c r="A1" s="201" t="s">
        <v>181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0" ht="12.75">
      <c r="A2" s="201"/>
      <c r="B2" s="202"/>
      <c r="C2" s="202"/>
      <c r="D2" s="202"/>
      <c r="E2" s="202"/>
      <c r="F2" s="202"/>
      <c r="G2" s="202"/>
      <c r="H2" s="202"/>
      <c r="I2" s="202"/>
      <c r="J2" s="202"/>
    </row>
    <row r="3" spans="1:10" ht="12.75">
      <c r="A3" s="202"/>
      <c r="B3" s="202"/>
      <c r="C3" s="202"/>
      <c r="D3" s="202"/>
      <c r="E3" s="202"/>
      <c r="F3" s="202"/>
      <c r="G3" s="202"/>
      <c r="H3" s="202"/>
      <c r="I3" s="202"/>
      <c r="J3" s="202"/>
    </row>
    <row r="4" spans="1:10" ht="15.75">
      <c r="A4" s="54"/>
      <c r="B4" s="68"/>
      <c r="C4" s="68"/>
      <c r="D4" s="68"/>
      <c r="E4" s="68"/>
      <c r="F4" s="68"/>
      <c r="G4" s="68"/>
      <c r="H4" s="68"/>
      <c r="I4" s="68"/>
      <c r="J4" s="68"/>
    </row>
    <row r="5" spans="1:10" ht="15.75">
      <c r="A5" s="51" t="s">
        <v>150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ht="12.75">
      <c r="A6" s="198" t="s">
        <v>151</v>
      </c>
      <c r="B6" s="199"/>
      <c r="C6" s="199"/>
      <c r="D6" s="199"/>
      <c r="E6" s="199"/>
      <c r="F6" s="199"/>
      <c r="G6" s="199"/>
      <c r="H6" s="199"/>
      <c r="I6" s="199"/>
      <c r="J6" s="199"/>
    </row>
    <row r="7" spans="1:10" ht="12.75">
      <c r="A7" s="199"/>
      <c r="B7" s="199"/>
      <c r="C7" s="199"/>
      <c r="D7" s="199"/>
      <c r="E7" s="199"/>
      <c r="F7" s="199"/>
      <c r="G7" s="199"/>
      <c r="H7" s="199"/>
      <c r="I7" s="199"/>
      <c r="J7" s="199"/>
    </row>
    <row r="8" spans="1:10" ht="12.75">
      <c r="A8" s="199"/>
      <c r="B8" s="199"/>
      <c r="C8" s="199"/>
      <c r="D8" s="199"/>
      <c r="E8" s="199"/>
      <c r="F8" s="199"/>
      <c r="G8" s="199"/>
      <c r="H8" s="199"/>
      <c r="I8" s="199"/>
      <c r="J8" s="199"/>
    </row>
    <row r="9" spans="1:10" ht="12.75">
      <c r="A9" s="199"/>
      <c r="B9" s="199"/>
      <c r="C9" s="199"/>
      <c r="D9" s="199"/>
      <c r="E9" s="199"/>
      <c r="F9" s="199"/>
      <c r="G9" s="199"/>
      <c r="H9" s="199"/>
      <c r="I9" s="199"/>
      <c r="J9" s="199"/>
    </row>
    <row r="10" ht="12.75"/>
    <row r="11" spans="1:10" ht="12.75">
      <c r="A11" s="203" t="s">
        <v>403</v>
      </c>
      <c r="B11" s="203" t="s">
        <v>62</v>
      </c>
      <c r="C11" s="203" t="s">
        <v>404</v>
      </c>
      <c r="D11" s="160" t="s">
        <v>405</v>
      </c>
      <c r="E11" s="160"/>
      <c r="F11" s="160"/>
      <c r="G11" s="160"/>
      <c r="H11" s="160"/>
      <c r="I11" s="160"/>
      <c r="J11" s="160"/>
    </row>
    <row r="12" spans="1:10" ht="12.75">
      <c r="A12" s="203"/>
      <c r="B12" s="203"/>
      <c r="C12" s="203"/>
      <c r="D12" s="49" t="s">
        <v>406</v>
      </c>
      <c r="E12" s="49">
        <v>2016</v>
      </c>
      <c r="F12" s="49">
        <v>2017</v>
      </c>
      <c r="G12" s="49">
        <v>2018</v>
      </c>
      <c r="H12" s="49">
        <v>2019</v>
      </c>
      <c r="I12" s="21">
        <v>2020</v>
      </c>
      <c r="J12" s="21">
        <v>2021</v>
      </c>
    </row>
    <row r="13" spans="1:10" ht="12.75">
      <c r="A13" s="203"/>
      <c r="B13" s="203"/>
      <c r="C13" s="203"/>
      <c r="D13" s="49" t="s">
        <v>407</v>
      </c>
      <c r="E13" s="49" t="s">
        <v>408</v>
      </c>
      <c r="F13" s="49" t="s">
        <v>408</v>
      </c>
      <c r="G13" s="49" t="s">
        <v>408</v>
      </c>
      <c r="H13" s="49" t="s">
        <v>408</v>
      </c>
      <c r="I13" s="21" t="s">
        <v>408</v>
      </c>
      <c r="J13" s="21" t="s">
        <v>408</v>
      </c>
    </row>
    <row r="14" spans="1:10" ht="12.75">
      <c r="A14" s="21">
        <v>1</v>
      </c>
      <c r="B14" s="21">
        <v>2</v>
      </c>
      <c r="C14" s="21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  <c r="J14" s="21">
        <v>10</v>
      </c>
    </row>
    <row r="15" spans="1:11" ht="25.5">
      <c r="A15" s="17" t="s">
        <v>16</v>
      </c>
      <c r="B15" s="21" t="s">
        <v>66</v>
      </c>
      <c r="C15" s="11" t="s">
        <v>409</v>
      </c>
      <c r="D15" s="35">
        <v>30330</v>
      </c>
      <c r="E15" s="69">
        <v>37033</v>
      </c>
      <c r="F15" s="69">
        <v>44827.9</v>
      </c>
      <c r="G15" s="69">
        <v>57305</v>
      </c>
      <c r="H15" s="69">
        <v>61153</v>
      </c>
      <c r="I15" s="69">
        <v>68096</v>
      </c>
      <c r="J15" s="69">
        <v>89954</v>
      </c>
      <c r="K15" s="112" t="s">
        <v>17</v>
      </c>
    </row>
    <row r="16" spans="1:10" ht="51">
      <c r="A16" s="165" t="s">
        <v>88</v>
      </c>
      <c r="B16" s="160" t="s">
        <v>66</v>
      </c>
      <c r="C16" s="17" t="s">
        <v>84</v>
      </c>
      <c r="D16" s="36">
        <f>D17/D18</f>
        <v>22.409323649763266</v>
      </c>
      <c r="E16" s="36">
        <f aca="true" t="shared" si="0" ref="E16:J16">E17/E18</f>
        <v>26.494136505935156</v>
      </c>
      <c r="F16" s="36">
        <f t="shared" si="0"/>
        <v>22.866442120095385</v>
      </c>
      <c r="G16" s="36">
        <f t="shared" si="0"/>
        <v>23.422876403272717</v>
      </c>
      <c r="H16" s="36">
        <f t="shared" si="0"/>
        <v>23.786343299869053</v>
      </c>
      <c r="I16" s="36">
        <f t="shared" si="0"/>
        <v>24.19246440306681</v>
      </c>
      <c r="J16" s="36">
        <f t="shared" si="0"/>
        <v>24.70338080052782</v>
      </c>
    </row>
    <row r="17" spans="1:12" ht="25.5">
      <c r="A17" s="163"/>
      <c r="B17" s="160"/>
      <c r="C17" s="10" t="s">
        <v>85</v>
      </c>
      <c r="D17" s="30">
        <f>4126900+57100</f>
        <v>4184000</v>
      </c>
      <c r="E17" s="30">
        <v>4917020.3</v>
      </c>
      <c r="F17" s="30">
        <v>4219315.9</v>
      </c>
      <c r="G17" s="30">
        <f>4256272.5+G15-5056.5</f>
        <v>4308521</v>
      </c>
      <c r="H17" s="30">
        <f>G17+H15-10113</f>
        <v>4359561</v>
      </c>
      <c r="I17" s="30">
        <f>H17+I15-10113</f>
        <v>4417544</v>
      </c>
      <c r="J17" s="30">
        <f>I17+J15-14447.1</f>
        <v>4493050.9</v>
      </c>
      <c r="K17" s="108" t="s">
        <v>18</v>
      </c>
      <c r="L17" s="66" t="s">
        <v>36</v>
      </c>
    </row>
    <row r="18" spans="1:11" ht="12.75">
      <c r="A18" s="163"/>
      <c r="B18" s="160"/>
      <c r="C18" s="32" t="s">
        <v>165</v>
      </c>
      <c r="D18" s="22">
        <v>186708</v>
      </c>
      <c r="E18" s="22">
        <v>185589</v>
      </c>
      <c r="F18" s="22">
        <v>184520</v>
      </c>
      <c r="G18" s="22">
        <v>183945</v>
      </c>
      <c r="H18" s="22">
        <v>183280</v>
      </c>
      <c r="I18" s="22">
        <v>182600</v>
      </c>
      <c r="J18" s="22">
        <v>181880</v>
      </c>
      <c r="K18" s="108" t="s">
        <v>19</v>
      </c>
    </row>
    <row r="19" spans="1:10" ht="51">
      <c r="A19" s="162" t="s">
        <v>15</v>
      </c>
      <c r="B19" s="160" t="s">
        <v>69</v>
      </c>
      <c r="C19" s="11" t="s">
        <v>21</v>
      </c>
      <c r="D19" s="36">
        <f>D20/D21*100</f>
        <v>1.684976099426386</v>
      </c>
      <c r="E19" s="36">
        <f aca="true" t="shared" si="1" ref="E19:J19">E20/E21*100</f>
        <v>1.2334360303535863</v>
      </c>
      <c r="F19" s="36">
        <f t="shared" si="1"/>
        <v>2.44260449898999</v>
      </c>
      <c r="G19" s="36">
        <f t="shared" si="1"/>
        <v>2.431799682536072</v>
      </c>
      <c r="H19" s="36">
        <f t="shared" si="1"/>
        <v>2.3787945621130198</v>
      </c>
      <c r="I19" s="36">
        <f t="shared" si="1"/>
        <v>2.3233588618472156</v>
      </c>
      <c r="J19" s="36">
        <f t="shared" si="1"/>
        <v>2.164046260860298</v>
      </c>
    </row>
    <row r="20" spans="1:12" ht="25.5">
      <c r="A20" s="163"/>
      <c r="B20" s="160"/>
      <c r="C20" s="32" t="s">
        <v>411</v>
      </c>
      <c r="D20" s="35" t="s">
        <v>412</v>
      </c>
      <c r="E20" s="35">
        <v>60648.3</v>
      </c>
      <c r="F20" s="35">
        <f>101885.2+9126.3-7950.3</f>
        <v>103061.2</v>
      </c>
      <c r="G20" s="35">
        <f>100787.7-5056.5+9043.4</f>
        <v>104774.59999999999</v>
      </c>
      <c r="H20" s="35">
        <f>G20-10113+9043.4</f>
        <v>103704.99999999999</v>
      </c>
      <c r="I20" s="35">
        <f>H20-10113+9043.4</f>
        <v>102635.39999999998</v>
      </c>
      <c r="J20" s="35">
        <f>I20-14447.1+9043.4</f>
        <v>97231.69999999997</v>
      </c>
      <c r="K20" s="108" t="s">
        <v>18</v>
      </c>
      <c r="L20" s="66" t="s">
        <v>37</v>
      </c>
    </row>
    <row r="21" spans="1:11" ht="25.5">
      <c r="A21" s="163"/>
      <c r="B21" s="160"/>
      <c r="C21" s="10" t="s">
        <v>85</v>
      </c>
      <c r="D21" s="30">
        <f>4126900+57100</f>
        <v>4184000</v>
      </c>
      <c r="E21" s="70" t="s">
        <v>413</v>
      </c>
      <c r="F21" s="30">
        <f>F17</f>
        <v>4219315.9</v>
      </c>
      <c r="G21" s="30">
        <f>G17</f>
        <v>4308521</v>
      </c>
      <c r="H21" s="30">
        <f>H17</f>
        <v>4359561</v>
      </c>
      <c r="I21" s="30">
        <f>I17</f>
        <v>4417544</v>
      </c>
      <c r="J21" s="30">
        <f>J17</f>
        <v>4493050.9</v>
      </c>
      <c r="K21" s="108" t="s">
        <v>18</v>
      </c>
    </row>
    <row r="22" spans="1:11" ht="51">
      <c r="A22" s="178" t="s">
        <v>146</v>
      </c>
      <c r="B22" s="181" t="s">
        <v>69</v>
      </c>
      <c r="C22" s="47" t="s">
        <v>92</v>
      </c>
      <c r="D22" s="71">
        <f>D23/D29*100</f>
        <v>4.49731811305185</v>
      </c>
      <c r="E22" s="71">
        <f aca="true" t="shared" si="2" ref="E22:J22">E23/E29*100</f>
        <v>5.074821080026025</v>
      </c>
      <c r="F22" s="71">
        <f t="shared" si="2"/>
        <v>20.33898305084746</v>
      </c>
      <c r="G22" s="71">
        <f t="shared" si="2"/>
        <v>2.7057027889551826</v>
      </c>
      <c r="H22" s="71">
        <f t="shared" si="2"/>
        <v>2.7376105573494316</v>
      </c>
      <c r="I22" s="71">
        <f t="shared" si="2"/>
        <v>2.776591200341734</v>
      </c>
      <c r="J22" s="71">
        <f t="shared" si="2"/>
        <v>2.816697963310703</v>
      </c>
      <c r="K22" s="108" t="s">
        <v>395</v>
      </c>
    </row>
    <row r="23" spans="1:10" ht="25.5">
      <c r="A23" s="200"/>
      <c r="B23" s="182"/>
      <c r="C23" s="32" t="s">
        <v>93</v>
      </c>
      <c r="D23" s="71">
        <f>D25+D26+D27+D28</f>
        <v>327</v>
      </c>
      <c r="E23" s="71">
        <f aca="true" t="shared" si="3" ref="E23:J23">E25+E26+E27+E28</f>
        <v>390</v>
      </c>
      <c r="F23" s="71">
        <f t="shared" si="3"/>
        <v>768</v>
      </c>
      <c r="G23" s="71">
        <f t="shared" si="3"/>
        <v>195</v>
      </c>
      <c r="H23" s="71">
        <f t="shared" si="3"/>
        <v>195</v>
      </c>
      <c r="I23" s="71">
        <f t="shared" si="3"/>
        <v>195</v>
      </c>
      <c r="J23" s="71">
        <f t="shared" si="3"/>
        <v>195</v>
      </c>
    </row>
    <row r="24" spans="1:10" ht="12.75">
      <c r="A24" s="200"/>
      <c r="B24" s="182"/>
      <c r="C24" s="32" t="s">
        <v>90</v>
      </c>
      <c r="D24" s="71"/>
      <c r="E24" s="72"/>
      <c r="F24" s="72"/>
      <c r="G24" s="72"/>
      <c r="H24" s="72"/>
      <c r="I24" s="72"/>
      <c r="J24" s="72"/>
    </row>
    <row r="25" spans="1:10" ht="25.5">
      <c r="A25" s="200"/>
      <c r="B25" s="182"/>
      <c r="C25" s="32" t="s">
        <v>94</v>
      </c>
      <c r="D25" s="20">
        <v>54</v>
      </c>
      <c r="E25" s="20">
        <v>96</v>
      </c>
      <c r="F25" s="20">
        <v>132</v>
      </c>
      <c r="G25" s="20">
        <v>87</v>
      </c>
      <c r="H25" s="20">
        <v>87</v>
      </c>
      <c r="I25" s="20">
        <v>87</v>
      </c>
      <c r="J25" s="20">
        <v>87</v>
      </c>
    </row>
    <row r="26" spans="1:10" ht="38.25">
      <c r="A26" s="200"/>
      <c r="B26" s="182"/>
      <c r="C26" s="32" t="s">
        <v>91</v>
      </c>
      <c r="D26" s="20">
        <v>247</v>
      </c>
      <c r="E26" s="4">
        <v>280</v>
      </c>
      <c r="F26" s="4">
        <v>632</v>
      </c>
      <c r="G26" s="20">
        <v>100</v>
      </c>
      <c r="H26" s="20">
        <v>100</v>
      </c>
      <c r="I26" s="20">
        <v>100</v>
      </c>
      <c r="J26" s="20">
        <v>100</v>
      </c>
    </row>
    <row r="27" spans="1:10" ht="25.5">
      <c r="A27" s="200"/>
      <c r="B27" s="182"/>
      <c r="C27" s="32" t="s">
        <v>95</v>
      </c>
      <c r="D27" s="20">
        <v>12</v>
      </c>
      <c r="E27" s="35">
        <v>9</v>
      </c>
      <c r="F27" s="35">
        <v>4</v>
      </c>
      <c r="G27" s="35">
        <f>G125</f>
        <v>3</v>
      </c>
      <c r="H27" s="35">
        <f>H125</f>
        <v>3</v>
      </c>
      <c r="I27" s="35">
        <f>I125</f>
        <v>3</v>
      </c>
      <c r="J27" s="35">
        <f>J125</f>
        <v>3</v>
      </c>
    </row>
    <row r="28" spans="1:10" ht="25.5">
      <c r="A28" s="200"/>
      <c r="B28" s="182"/>
      <c r="C28" s="32" t="s">
        <v>153</v>
      </c>
      <c r="D28" s="20">
        <v>14</v>
      </c>
      <c r="E28" s="20">
        <v>5</v>
      </c>
      <c r="F28" s="20">
        <v>0</v>
      </c>
      <c r="G28" s="20">
        <v>5</v>
      </c>
      <c r="H28" s="20">
        <v>5</v>
      </c>
      <c r="I28" s="20">
        <v>5</v>
      </c>
      <c r="J28" s="20">
        <v>5</v>
      </c>
    </row>
    <row r="29" spans="1:10" ht="25.5">
      <c r="A29" s="200"/>
      <c r="B29" s="182"/>
      <c r="C29" s="11" t="s">
        <v>99</v>
      </c>
      <c r="D29" s="20">
        <f>D31+D32+D33+D34</f>
        <v>7271</v>
      </c>
      <c r="E29" s="20">
        <f>E31+E32+E33+E34</f>
        <v>7685</v>
      </c>
      <c r="F29" s="20">
        <f>F31+F32+F33+F34</f>
        <v>3776</v>
      </c>
      <c r="G29" s="20">
        <f>6584+623</f>
        <v>7207</v>
      </c>
      <c r="H29" s="20">
        <f>6500+623</f>
        <v>7123</v>
      </c>
      <c r="I29" s="20">
        <f>6400+623</f>
        <v>7023</v>
      </c>
      <c r="J29" s="20">
        <f>6300+623</f>
        <v>6923</v>
      </c>
    </row>
    <row r="30" spans="1:10" ht="12.75">
      <c r="A30" s="200"/>
      <c r="B30" s="182"/>
      <c r="C30" s="32" t="s">
        <v>90</v>
      </c>
      <c r="D30" s="20"/>
      <c r="E30" s="20"/>
      <c r="F30" s="20"/>
      <c r="G30" s="20"/>
      <c r="H30" s="20"/>
      <c r="I30" s="20"/>
      <c r="J30" s="20"/>
    </row>
    <row r="31" spans="1:10" ht="25.5">
      <c r="A31" s="200"/>
      <c r="B31" s="182"/>
      <c r="C31" s="32" t="s">
        <v>154</v>
      </c>
      <c r="D31" s="20" t="s">
        <v>414</v>
      </c>
      <c r="E31" s="20" t="s">
        <v>414</v>
      </c>
      <c r="F31" s="20">
        <v>634</v>
      </c>
      <c r="G31" s="20">
        <v>623</v>
      </c>
      <c r="H31" s="20">
        <v>623</v>
      </c>
      <c r="I31" s="20">
        <v>623</v>
      </c>
      <c r="J31" s="20">
        <v>623</v>
      </c>
    </row>
    <row r="32" spans="1:10" ht="38.25">
      <c r="A32" s="200"/>
      <c r="B32" s="182"/>
      <c r="C32" s="29" t="s">
        <v>97</v>
      </c>
      <c r="D32" s="46">
        <f>6842-2330-270</f>
        <v>4242</v>
      </c>
      <c r="E32" s="46">
        <f>6800-2330-270</f>
        <v>4200</v>
      </c>
      <c r="F32" s="20">
        <v>477</v>
      </c>
      <c r="G32" s="46">
        <v>620</v>
      </c>
      <c r="H32" s="46">
        <v>620</v>
      </c>
      <c r="I32" s="46">
        <v>620</v>
      </c>
      <c r="J32" s="46">
        <v>620</v>
      </c>
    </row>
    <row r="33" spans="1:10" ht="38.25">
      <c r="A33" s="200"/>
      <c r="B33" s="182"/>
      <c r="C33" s="32" t="s">
        <v>98</v>
      </c>
      <c r="D33" s="20">
        <v>257</v>
      </c>
      <c r="E33" s="20">
        <v>275</v>
      </c>
      <c r="F33" s="20">
        <v>275</v>
      </c>
      <c r="G33" s="20">
        <v>275</v>
      </c>
      <c r="H33" s="20">
        <v>275</v>
      </c>
      <c r="I33" s="20">
        <v>275</v>
      </c>
      <c r="J33" s="20">
        <v>275</v>
      </c>
    </row>
    <row r="34" spans="1:10" ht="38.25">
      <c r="A34" s="200"/>
      <c r="B34" s="183"/>
      <c r="C34" s="32" t="s">
        <v>96</v>
      </c>
      <c r="D34" s="20">
        <v>1950</v>
      </c>
      <c r="E34" s="74">
        <v>2388</v>
      </c>
      <c r="F34" s="74">
        <v>2390</v>
      </c>
      <c r="G34" s="74">
        <v>2388</v>
      </c>
      <c r="H34" s="74">
        <v>2388</v>
      </c>
      <c r="I34" s="74">
        <v>2388</v>
      </c>
      <c r="J34" s="74">
        <v>2388</v>
      </c>
    </row>
    <row r="35" spans="1:10" ht="51">
      <c r="A35" s="162" t="s">
        <v>155</v>
      </c>
      <c r="B35" s="160" t="s">
        <v>69</v>
      </c>
      <c r="C35" s="11" t="s">
        <v>156</v>
      </c>
      <c r="D35" s="36">
        <f>D36/D37*100</f>
        <v>6.569343065693431</v>
      </c>
      <c r="E35" s="36">
        <f aca="true" t="shared" si="4" ref="E35:J35">E36/E37*100</f>
        <v>16.30170316301703</v>
      </c>
      <c r="F35" s="36">
        <f>F36/F37*100</f>
        <v>20.82018927444795</v>
      </c>
      <c r="G35" s="36">
        <f t="shared" si="4"/>
        <v>13.964686998394862</v>
      </c>
      <c r="H35" s="36">
        <f t="shared" si="4"/>
        <v>13.964686998394862</v>
      </c>
      <c r="I35" s="36">
        <f t="shared" si="4"/>
        <v>13.964686998394862</v>
      </c>
      <c r="J35" s="36">
        <f t="shared" si="4"/>
        <v>13.964686998394862</v>
      </c>
    </row>
    <row r="36" spans="1:11" ht="25.5">
      <c r="A36" s="163"/>
      <c r="B36" s="160"/>
      <c r="C36" s="10" t="s">
        <v>439</v>
      </c>
      <c r="D36" s="20">
        <v>54</v>
      </c>
      <c r="E36" s="20">
        <f>85+49</f>
        <v>134</v>
      </c>
      <c r="F36" s="20">
        <v>132</v>
      </c>
      <c r="G36" s="20">
        <v>87</v>
      </c>
      <c r="H36" s="20">
        <v>87</v>
      </c>
      <c r="I36" s="20">
        <v>87</v>
      </c>
      <c r="J36" s="20">
        <v>87</v>
      </c>
      <c r="K36" s="110" t="s">
        <v>395</v>
      </c>
    </row>
    <row r="37" spans="1:11" ht="25.5">
      <c r="A37" s="163"/>
      <c r="B37" s="160"/>
      <c r="C37" s="10" t="s">
        <v>157</v>
      </c>
      <c r="D37" s="20" t="s">
        <v>414</v>
      </c>
      <c r="E37" s="20" t="s">
        <v>414</v>
      </c>
      <c r="F37" s="20">
        <v>634</v>
      </c>
      <c r="G37" s="20">
        <v>623</v>
      </c>
      <c r="H37" s="20">
        <v>623</v>
      </c>
      <c r="I37" s="20">
        <v>623</v>
      </c>
      <c r="J37" s="20">
        <v>623</v>
      </c>
      <c r="K37" s="110" t="s">
        <v>395</v>
      </c>
    </row>
    <row r="38" spans="1:10" ht="25.5">
      <c r="A38" s="165" t="s">
        <v>147</v>
      </c>
      <c r="B38" s="160" t="s">
        <v>114</v>
      </c>
      <c r="C38" s="10" t="s">
        <v>355</v>
      </c>
      <c r="D38" s="35">
        <f>D39/D40</f>
        <v>35.05685007834167</v>
      </c>
      <c r="E38" s="35">
        <f aca="true" t="shared" si="5" ref="E38:J38">E39/E40</f>
        <v>41.19867196206084</v>
      </c>
      <c r="F38" s="35">
        <f t="shared" si="5"/>
        <v>35.35275452664036</v>
      </c>
      <c r="G38" s="35">
        <f t="shared" si="5"/>
        <v>36.10018517122054</v>
      </c>
      <c r="H38" s="35">
        <f t="shared" si="5"/>
        <v>36.52783852399266</v>
      </c>
      <c r="I38" s="35">
        <f t="shared" si="5"/>
        <v>37.01366580365148</v>
      </c>
      <c r="J38" s="35">
        <f t="shared" si="5"/>
        <v>37.64632213089343</v>
      </c>
    </row>
    <row r="39" spans="1:10" ht="25.5">
      <c r="A39" s="165"/>
      <c r="B39" s="160"/>
      <c r="C39" s="10" t="s">
        <v>85</v>
      </c>
      <c r="D39" s="30">
        <f>D21</f>
        <v>4184000</v>
      </c>
      <c r="E39" s="30" t="str">
        <f aca="true" t="shared" si="6" ref="E39:J39">E21</f>
        <v>4 917 020,3</v>
      </c>
      <c r="F39" s="30">
        <f t="shared" si="6"/>
        <v>4219315.9</v>
      </c>
      <c r="G39" s="30">
        <f t="shared" si="6"/>
        <v>4308521</v>
      </c>
      <c r="H39" s="30">
        <f t="shared" si="6"/>
        <v>4359561</v>
      </c>
      <c r="I39" s="30">
        <f t="shared" si="6"/>
        <v>4417544</v>
      </c>
      <c r="J39" s="30">
        <f t="shared" si="6"/>
        <v>4493050.9</v>
      </c>
    </row>
    <row r="40" spans="1:10" ht="25.5">
      <c r="A40" s="165"/>
      <c r="B40" s="160"/>
      <c r="C40" s="11" t="s">
        <v>429</v>
      </c>
      <c r="D40" s="22">
        <v>119349</v>
      </c>
      <c r="E40" s="22">
        <v>119349</v>
      </c>
      <c r="F40" s="22">
        <v>119349</v>
      </c>
      <c r="G40" s="22">
        <v>119349</v>
      </c>
      <c r="H40" s="22">
        <v>119349</v>
      </c>
      <c r="I40" s="22">
        <v>119349</v>
      </c>
      <c r="J40" s="22">
        <v>119349</v>
      </c>
    </row>
    <row r="41" spans="1:10" ht="38.25">
      <c r="A41" s="178" t="s">
        <v>148</v>
      </c>
      <c r="B41" s="181" t="s">
        <v>68</v>
      </c>
      <c r="C41" s="17" t="s">
        <v>240</v>
      </c>
      <c r="D41" s="36">
        <f>D42/D46*10000</f>
        <v>4.338325085159714</v>
      </c>
      <c r="E41" s="36">
        <f aca="true" t="shared" si="7" ref="E41:J41">E42/E46*10000</f>
        <v>4.364482808787159</v>
      </c>
      <c r="F41" s="36">
        <f t="shared" si="7"/>
        <v>4.389768046824193</v>
      </c>
      <c r="G41" s="36">
        <f t="shared" si="7"/>
        <v>4.403490173693224</v>
      </c>
      <c r="H41" s="36">
        <f t="shared" si="7"/>
        <v>4.419467481449149</v>
      </c>
      <c r="I41" s="36">
        <f t="shared" si="7"/>
        <v>4.435925520262869</v>
      </c>
      <c r="J41" s="36">
        <f t="shared" si="7"/>
        <v>4.563448427534638</v>
      </c>
    </row>
    <row r="42" spans="1:10" ht="25.5">
      <c r="A42" s="179"/>
      <c r="B42" s="182"/>
      <c r="C42" s="32" t="s">
        <v>46</v>
      </c>
      <c r="D42" s="20">
        <f>SUM(D43:D45)</f>
        <v>81</v>
      </c>
      <c r="E42" s="20">
        <f aca="true" t="shared" si="8" ref="E42:J42">SUM(E43:E45)</f>
        <v>81</v>
      </c>
      <c r="F42" s="20">
        <f t="shared" si="8"/>
        <v>81</v>
      </c>
      <c r="G42" s="20">
        <f t="shared" si="8"/>
        <v>81</v>
      </c>
      <c r="H42" s="20">
        <f t="shared" si="8"/>
        <v>81</v>
      </c>
      <c r="I42" s="20">
        <f t="shared" si="8"/>
        <v>81</v>
      </c>
      <c r="J42" s="20">
        <f t="shared" si="8"/>
        <v>83</v>
      </c>
    </row>
    <row r="43" spans="1:10" ht="25.5">
      <c r="A43" s="179"/>
      <c r="B43" s="182"/>
      <c r="C43" s="33" t="s">
        <v>47</v>
      </c>
      <c r="D43" s="20">
        <v>1</v>
      </c>
      <c r="E43" s="20">
        <v>1</v>
      </c>
      <c r="F43" s="20">
        <v>1</v>
      </c>
      <c r="G43" s="20">
        <v>1</v>
      </c>
      <c r="H43" s="20">
        <v>1</v>
      </c>
      <c r="I43" s="20">
        <v>1</v>
      </c>
      <c r="J43" s="20">
        <f>1+1</f>
        <v>2</v>
      </c>
    </row>
    <row r="44" spans="1:10" ht="38.25">
      <c r="A44" s="179"/>
      <c r="B44" s="182"/>
      <c r="C44" s="33" t="s">
        <v>49</v>
      </c>
      <c r="D44" s="20">
        <v>12</v>
      </c>
      <c r="E44" s="20">
        <v>12</v>
      </c>
      <c r="F44" s="20">
        <v>12</v>
      </c>
      <c r="G44" s="20">
        <v>12</v>
      </c>
      <c r="H44" s="20">
        <v>12</v>
      </c>
      <c r="I44" s="20">
        <v>12</v>
      </c>
      <c r="J44" s="20">
        <v>12</v>
      </c>
    </row>
    <row r="45" spans="1:10" ht="38.25">
      <c r="A45" s="179"/>
      <c r="B45" s="182"/>
      <c r="C45" s="33" t="s">
        <v>48</v>
      </c>
      <c r="D45" s="20">
        <v>68</v>
      </c>
      <c r="E45" s="20">
        <v>68</v>
      </c>
      <c r="F45" s="20">
        <v>68</v>
      </c>
      <c r="G45" s="20">
        <v>68</v>
      </c>
      <c r="H45" s="20">
        <v>68</v>
      </c>
      <c r="I45" s="20">
        <v>68</v>
      </c>
      <c r="J45" s="20">
        <v>69</v>
      </c>
    </row>
    <row r="46" spans="1:10" ht="12.75">
      <c r="A46" s="194"/>
      <c r="B46" s="183"/>
      <c r="C46" s="29" t="s">
        <v>442</v>
      </c>
      <c r="D46" s="22">
        <f aca="true" t="shared" si="9" ref="D46:J46">D18</f>
        <v>186708</v>
      </c>
      <c r="E46" s="22">
        <f t="shared" si="9"/>
        <v>185589</v>
      </c>
      <c r="F46" s="22">
        <f t="shared" si="9"/>
        <v>184520</v>
      </c>
      <c r="G46" s="22">
        <f t="shared" si="9"/>
        <v>183945</v>
      </c>
      <c r="H46" s="22">
        <f t="shared" si="9"/>
        <v>183280</v>
      </c>
      <c r="I46" s="22">
        <f t="shared" si="9"/>
        <v>182600</v>
      </c>
      <c r="J46" s="22">
        <f t="shared" si="9"/>
        <v>181880</v>
      </c>
    </row>
    <row r="47" spans="1:10" ht="38.25">
      <c r="A47" s="195" t="s">
        <v>115</v>
      </c>
      <c r="B47" s="181" t="s">
        <v>68</v>
      </c>
      <c r="C47" s="50" t="s">
        <v>54</v>
      </c>
      <c r="D47" s="21" t="s">
        <v>249</v>
      </c>
      <c r="E47" s="28">
        <f>SUM(E48:E61)</f>
        <v>2</v>
      </c>
      <c r="F47" s="28">
        <f>SUM(F48:F65)</f>
        <v>5</v>
      </c>
      <c r="G47" s="28">
        <f>F47+SUM(G48:G65)</f>
        <v>6</v>
      </c>
      <c r="H47" s="28">
        <f>G47+SUM(H48:H65)</f>
        <v>8</v>
      </c>
      <c r="I47" s="28">
        <f>H47+SUM(I48:I65)</f>
        <v>9</v>
      </c>
      <c r="J47" s="28">
        <f>I47+SUM(J48:J65)</f>
        <v>13</v>
      </c>
    </row>
    <row r="48" spans="1:10" ht="25.5">
      <c r="A48" s="196"/>
      <c r="B48" s="182"/>
      <c r="C48" s="34" t="s">
        <v>451</v>
      </c>
      <c r="D48" s="73" t="s">
        <v>370</v>
      </c>
      <c r="E48" s="28"/>
      <c r="F48" s="28"/>
      <c r="G48" s="28"/>
      <c r="H48" s="28"/>
      <c r="I48" s="28"/>
      <c r="J48" s="28"/>
    </row>
    <row r="49" spans="1:10" ht="25.5">
      <c r="A49" s="196"/>
      <c r="B49" s="182"/>
      <c r="C49" s="34" t="s">
        <v>226</v>
      </c>
      <c r="D49" s="73" t="s">
        <v>370</v>
      </c>
      <c r="E49" s="28"/>
      <c r="F49" s="28">
        <v>1</v>
      </c>
      <c r="G49" s="28">
        <v>1</v>
      </c>
      <c r="H49" s="28"/>
      <c r="I49" s="28"/>
      <c r="J49" s="28"/>
    </row>
    <row r="50" spans="1:10" ht="25.5">
      <c r="A50" s="196"/>
      <c r="B50" s="182"/>
      <c r="C50" s="34" t="s">
        <v>0</v>
      </c>
      <c r="D50" s="73" t="s">
        <v>370</v>
      </c>
      <c r="E50" s="28">
        <v>1</v>
      </c>
      <c r="F50" s="28">
        <v>1</v>
      </c>
      <c r="G50" s="28"/>
      <c r="H50" s="28"/>
      <c r="I50" s="28"/>
      <c r="J50" s="28">
        <v>1</v>
      </c>
    </row>
    <row r="51" spans="1:10" ht="38.25">
      <c r="A51" s="196"/>
      <c r="B51" s="182"/>
      <c r="C51" s="34" t="s">
        <v>1</v>
      </c>
      <c r="D51" s="73" t="s">
        <v>370</v>
      </c>
      <c r="E51" s="28"/>
      <c r="F51" s="28"/>
      <c r="G51" s="28"/>
      <c r="H51" s="28"/>
      <c r="I51" s="28">
        <v>1</v>
      </c>
      <c r="J51" s="28"/>
    </row>
    <row r="52" spans="1:10" ht="38.25">
      <c r="A52" s="196"/>
      <c r="B52" s="182"/>
      <c r="C52" s="34" t="s">
        <v>2</v>
      </c>
      <c r="D52" s="73" t="s">
        <v>370</v>
      </c>
      <c r="E52" s="28">
        <v>1</v>
      </c>
      <c r="F52" s="28">
        <v>1</v>
      </c>
      <c r="G52" s="28"/>
      <c r="H52" s="28"/>
      <c r="I52" s="28"/>
      <c r="J52" s="28"/>
    </row>
    <row r="53" spans="1:10" ht="51">
      <c r="A53" s="196"/>
      <c r="B53" s="182"/>
      <c r="C53" s="34" t="s">
        <v>3</v>
      </c>
      <c r="D53" s="73" t="s">
        <v>370</v>
      </c>
      <c r="E53" s="28"/>
      <c r="F53" s="28"/>
      <c r="G53" s="28"/>
      <c r="H53" s="28">
        <v>1</v>
      </c>
      <c r="I53" s="28"/>
      <c r="J53" s="28"/>
    </row>
    <row r="54" spans="1:10" ht="25.5">
      <c r="A54" s="196"/>
      <c r="B54" s="182"/>
      <c r="C54" s="34" t="s">
        <v>4</v>
      </c>
      <c r="D54" s="73" t="s">
        <v>370</v>
      </c>
      <c r="E54" s="28"/>
      <c r="F54" s="28"/>
      <c r="G54" s="28"/>
      <c r="H54" s="28"/>
      <c r="I54" s="28"/>
      <c r="J54" s="28"/>
    </row>
    <row r="55" spans="1:10" ht="38.25">
      <c r="A55" s="196"/>
      <c r="B55" s="182"/>
      <c r="C55" s="34" t="s">
        <v>6</v>
      </c>
      <c r="D55" s="73" t="s">
        <v>370</v>
      </c>
      <c r="E55" s="28"/>
      <c r="F55" s="28">
        <v>1</v>
      </c>
      <c r="G55" s="28"/>
      <c r="H55" s="28"/>
      <c r="I55" s="28"/>
      <c r="J55" s="28"/>
    </row>
    <row r="56" spans="1:10" ht="51">
      <c r="A56" s="196"/>
      <c r="B56" s="182"/>
      <c r="C56" s="34" t="s">
        <v>7</v>
      </c>
      <c r="D56" s="73" t="s">
        <v>370</v>
      </c>
      <c r="E56" s="28"/>
      <c r="F56" s="28">
        <v>1</v>
      </c>
      <c r="G56" s="28"/>
      <c r="H56" s="28"/>
      <c r="I56" s="28"/>
      <c r="J56" s="28"/>
    </row>
    <row r="57" spans="1:10" ht="38.25">
      <c r="A57" s="196"/>
      <c r="B57" s="182"/>
      <c r="C57" s="34" t="s">
        <v>8</v>
      </c>
      <c r="D57" s="73" t="s">
        <v>370</v>
      </c>
      <c r="E57" s="28"/>
      <c r="F57" s="28"/>
      <c r="G57" s="28"/>
      <c r="H57" s="28"/>
      <c r="I57" s="28"/>
      <c r="J57" s="28"/>
    </row>
    <row r="58" spans="1:10" ht="38.25">
      <c r="A58" s="196"/>
      <c r="B58" s="182"/>
      <c r="C58" s="34" t="s">
        <v>227</v>
      </c>
      <c r="D58" s="73"/>
      <c r="E58" s="28"/>
      <c r="F58" s="28"/>
      <c r="G58" s="28"/>
      <c r="H58" s="28"/>
      <c r="I58" s="28"/>
      <c r="J58" s="28"/>
    </row>
    <row r="59" spans="1:10" ht="25.5">
      <c r="A59" s="196"/>
      <c r="B59" s="182"/>
      <c r="C59" s="34" t="s">
        <v>228</v>
      </c>
      <c r="D59" s="73"/>
      <c r="E59" s="21"/>
      <c r="F59" s="21"/>
      <c r="G59" s="21"/>
      <c r="H59" s="21"/>
      <c r="I59" s="21"/>
      <c r="J59" s="21">
        <v>1</v>
      </c>
    </row>
    <row r="60" spans="1:10" ht="38.25">
      <c r="A60" s="196"/>
      <c r="B60" s="182"/>
      <c r="C60" s="34" t="s">
        <v>229</v>
      </c>
      <c r="D60" s="73"/>
      <c r="E60" s="21"/>
      <c r="F60" s="21"/>
      <c r="G60" s="21"/>
      <c r="H60" s="21"/>
      <c r="I60" s="21"/>
      <c r="J60" s="21"/>
    </row>
    <row r="61" spans="1:10" ht="25.5">
      <c r="A61" s="196"/>
      <c r="B61" s="182"/>
      <c r="C61" s="34" t="s">
        <v>234</v>
      </c>
      <c r="D61" s="73"/>
      <c r="E61" s="21"/>
      <c r="F61" s="21"/>
      <c r="G61" s="21"/>
      <c r="H61" s="21"/>
      <c r="I61" s="21"/>
      <c r="J61" s="21"/>
    </row>
    <row r="62" spans="1:10" ht="25.5">
      <c r="A62" s="196"/>
      <c r="B62" s="182"/>
      <c r="C62" s="34" t="s">
        <v>38</v>
      </c>
      <c r="D62" s="73"/>
      <c r="E62" s="21"/>
      <c r="F62" s="21"/>
      <c r="G62" s="21"/>
      <c r="H62" s="21"/>
      <c r="I62" s="21"/>
      <c r="J62" s="21">
        <v>1</v>
      </c>
    </row>
    <row r="63" spans="1:10" ht="38.25">
      <c r="A63" s="196"/>
      <c r="B63" s="182"/>
      <c r="C63" s="34" t="s">
        <v>39</v>
      </c>
      <c r="D63" s="73"/>
      <c r="E63" s="21"/>
      <c r="F63" s="21"/>
      <c r="G63" s="21"/>
      <c r="H63" s="21">
        <v>1</v>
      </c>
      <c r="I63" s="21"/>
      <c r="J63" s="21"/>
    </row>
    <row r="64" spans="1:10" ht="51">
      <c r="A64" s="196"/>
      <c r="B64" s="182"/>
      <c r="C64" s="34" t="s">
        <v>235</v>
      </c>
      <c r="D64" s="73"/>
      <c r="E64" s="21"/>
      <c r="F64" s="21"/>
      <c r="G64" s="21"/>
      <c r="H64" s="21"/>
      <c r="I64" s="21"/>
      <c r="J64" s="21">
        <v>1</v>
      </c>
    </row>
    <row r="65" spans="1:11" ht="51">
      <c r="A65" s="197"/>
      <c r="B65" s="183"/>
      <c r="C65" s="34" t="s">
        <v>236</v>
      </c>
      <c r="D65" s="102"/>
      <c r="E65" s="102"/>
      <c r="F65" s="102"/>
      <c r="G65" s="102"/>
      <c r="H65" s="102"/>
      <c r="I65" s="102"/>
      <c r="J65" s="102"/>
      <c r="K65" s="113"/>
    </row>
    <row r="66" spans="1:10" ht="15.75">
      <c r="A66" s="184" t="s">
        <v>313</v>
      </c>
      <c r="B66" s="184"/>
      <c r="C66" s="184"/>
      <c r="D66" s="184"/>
      <c r="E66" s="184"/>
      <c r="F66" s="184"/>
      <c r="G66" s="184"/>
      <c r="H66" s="184"/>
      <c r="I66" s="184"/>
      <c r="J66" s="184"/>
    </row>
    <row r="67" spans="1:10" ht="63.75">
      <c r="A67" s="165" t="s">
        <v>108</v>
      </c>
      <c r="B67" s="161" t="s">
        <v>418</v>
      </c>
      <c r="C67" s="11" t="s">
        <v>158</v>
      </c>
      <c r="D67" s="36">
        <f>D68/D69</f>
        <v>0.054857852903999825</v>
      </c>
      <c r="E67" s="36">
        <f aca="true" t="shared" si="10" ref="E67:J67">E68/E69</f>
        <v>0.07269288589302168</v>
      </c>
      <c r="F67" s="36">
        <f t="shared" si="10"/>
        <v>0.11160470409711684</v>
      </c>
      <c r="G67" s="36">
        <f t="shared" si="10"/>
        <v>0.02174563048737394</v>
      </c>
      <c r="H67" s="36">
        <f t="shared" si="10"/>
        <v>0.02182453077258839</v>
      </c>
      <c r="I67" s="36">
        <f t="shared" si="10"/>
        <v>0.02190580503833516</v>
      </c>
      <c r="J67" s="36">
        <f t="shared" si="10"/>
        <v>0.021992522542335607</v>
      </c>
    </row>
    <row r="68" spans="1:11" ht="51">
      <c r="A68" s="165"/>
      <c r="B68" s="161"/>
      <c r="C68" s="29" t="s">
        <v>159</v>
      </c>
      <c r="D68" s="35">
        <v>10242.4</v>
      </c>
      <c r="E68" s="18">
        <v>13491</v>
      </c>
      <c r="F68" s="18">
        <f>'[1]прил_4'!K50</f>
        <v>20593.3</v>
      </c>
      <c r="G68" s="18">
        <f>прил_4!L50</f>
        <v>4000</v>
      </c>
      <c r="H68" s="18">
        <f>прил_4!M50</f>
        <v>4000</v>
      </c>
      <c r="I68" s="18">
        <f>прил_4!N50</f>
        <v>4000</v>
      </c>
      <c r="J68" s="18">
        <f>прил_4!O50</f>
        <v>4000</v>
      </c>
      <c r="K68" s="110" t="s">
        <v>17</v>
      </c>
    </row>
    <row r="69" spans="1:11" ht="12.75">
      <c r="A69" s="165"/>
      <c r="B69" s="161"/>
      <c r="C69" s="11" t="s">
        <v>410</v>
      </c>
      <c r="D69" s="22">
        <v>186708</v>
      </c>
      <c r="E69" s="22">
        <v>185589</v>
      </c>
      <c r="F69" s="22">
        <v>184520</v>
      </c>
      <c r="G69" s="22">
        <f>G18</f>
        <v>183945</v>
      </c>
      <c r="H69" s="22">
        <f>H18</f>
        <v>183280</v>
      </c>
      <c r="I69" s="22">
        <f>I18</f>
        <v>182600</v>
      </c>
      <c r="J69" s="22">
        <f>J18</f>
        <v>181880</v>
      </c>
      <c r="K69" s="110" t="s">
        <v>19</v>
      </c>
    </row>
    <row r="70" spans="1:10" ht="51">
      <c r="A70" s="165" t="s">
        <v>196</v>
      </c>
      <c r="B70" s="160" t="s">
        <v>69</v>
      </c>
      <c r="C70" s="11" t="s">
        <v>110</v>
      </c>
      <c r="D70" s="74">
        <f>D71/D72*100</f>
        <v>33.76986482030993</v>
      </c>
      <c r="E70" s="74">
        <f aca="true" t="shared" si="11" ref="E70:J70">E71/E72*100</f>
        <v>36.42967083412092</v>
      </c>
      <c r="F70" s="74">
        <f t="shared" si="11"/>
        <v>45.93857842995099</v>
      </c>
      <c r="G70" s="74">
        <f>G71/G72*100</f>
        <v>6.980193700375185</v>
      </c>
      <c r="H70" s="74">
        <f t="shared" si="11"/>
        <v>6.540971007146011</v>
      </c>
      <c r="I70" s="74">
        <f t="shared" si="11"/>
        <v>5.87406015037594</v>
      </c>
      <c r="J70" s="74">
        <f t="shared" si="11"/>
        <v>4.446717211018965</v>
      </c>
    </row>
    <row r="71" spans="1:11" ht="38.25">
      <c r="A71" s="165"/>
      <c r="B71" s="160"/>
      <c r="C71" s="29" t="s">
        <v>160</v>
      </c>
      <c r="D71" s="35">
        <v>10242.4</v>
      </c>
      <c r="E71" s="18">
        <v>13491</v>
      </c>
      <c r="F71" s="18">
        <f>F68</f>
        <v>20593.3</v>
      </c>
      <c r="G71" s="18">
        <f>прил_4!L50</f>
        <v>4000</v>
      </c>
      <c r="H71" s="18">
        <f>прил_4!M50</f>
        <v>4000</v>
      </c>
      <c r="I71" s="18">
        <f>прил_4!N50</f>
        <v>4000</v>
      </c>
      <c r="J71" s="18">
        <f>прил_4!O50</f>
        <v>4000</v>
      </c>
      <c r="K71" s="108" t="s">
        <v>22</v>
      </c>
    </row>
    <row r="72" spans="1:11" ht="25.5">
      <c r="A72" s="165"/>
      <c r="B72" s="160"/>
      <c r="C72" s="11" t="s">
        <v>409</v>
      </c>
      <c r="D72" s="35">
        <v>30330</v>
      </c>
      <c r="E72" s="69">
        <v>37033</v>
      </c>
      <c r="F72" s="69">
        <f>F15</f>
        <v>44827.9</v>
      </c>
      <c r="G72" s="69">
        <f>G15</f>
        <v>57305</v>
      </c>
      <c r="H72" s="69">
        <f>H15</f>
        <v>61153</v>
      </c>
      <c r="I72" s="69">
        <f>I15</f>
        <v>68096</v>
      </c>
      <c r="J72" s="69">
        <f>J15</f>
        <v>89954</v>
      </c>
      <c r="K72" s="110" t="s">
        <v>19</v>
      </c>
    </row>
    <row r="73" spans="1:11" ht="51">
      <c r="A73" s="178" t="s">
        <v>348</v>
      </c>
      <c r="B73" s="181" t="s">
        <v>69</v>
      </c>
      <c r="C73" s="11" t="s">
        <v>349</v>
      </c>
      <c r="D73" s="75">
        <f>D74/D75*100</f>
        <v>0.8851139158631138</v>
      </c>
      <c r="E73" s="75">
        <f aca="true" t="shared" si="12" ref="E73:J73">E74/E75*100</f>
        <v>9.801560802198907</v>
      </c>
      <c r="F73" s="75">
        <f t="shared" si="12"/>
        <v>3.4822028076521523</v>
      </c>
      <c r="G73" s="75">
        <f t="shared" si="12"/>
        <v>0.2301512007681251</v>
      </c>
      <c r="H73" s="75">
        <f t="shared" si="12"/>
        <v>0.2410684152162384</v>
      </c>
      <c r="I73" s="75">
        <f t="shared" si="12"/>
        <v>0.2435806748938476</v>
      </c>
      <c r="J73" s="75">
        <f t="shared" si="12"/>
        <v>0.257117791831265</v>
      </c>
      <c r="K73" s="113"/>
    </row>
    <row r="74" spans="1:11" ht="63.75">
      <c r="A74" s="179"/>
      <c r="B74" s="182"/>
      <c r="C74" s="32" t="s">
        <v>352</v>
      </c>
      <c r="D74" s="75">
        <v>624</v>
      </c>
      <c r="E74" s="65">
        <v>5944.48</v>
      </c>
      <c r="F74" s="67">
        <v>3588.8</v>
      </c>
      <c r="G74" s="69">
        <v>241.14</v>
      </c>
      <c r="H74" s="69">
        <v>250</v>
      </c>
      <c r="I74" s="69">
        <v>250</v>
      </c>
      <c r="J74" s="69">
        <v>250</v>
      </c>
      <c r="K74" s="113"/>
    </row>
    <row r="75" spans="1:11" ht="25.5">
      <c r="A75" s="180"/>
      <c r="B75" s="167"/>
      <c r="C75" s="32" t="s">
        <v>353</v>
      </c>
      <c r="D75" s="20" t="s">
        <v>412</v>
      </c>
      <c r="E75" s="20">
        <v>60648.3</v>
      </c>
      <c r="F75" s="20">
        <f>F20</f>
        <v>103061.2</v>
      </c>
      <c r="G75" s="20">
        <f>G20</f>
        <v>104774.59999999999</v>
      </c>
      <c r="H75" s="20">
        <f>H20</f>
        <v>103704.99999999999</v>
      </c>
      <c r="I75" s="20">
        <f>I20</f>
        <v>102635.39999999998</v>
      </c>
      <c r="J75" s="20">
        <f>J20</f>
        <v>97231.69999999997</v>
      </c>
      <c r="K75" s="113"/>
    </row>
    <row r="76" spans="1:11" ht="63.75">
      <c r="A76" s="178" t="s">
        <v>397</v>
      </c>
      <c r="B76" s="181" t="s">
        <v>69</v>
      </c>
      <c r="C76" s="10" t="s">
        <v>138</v>
      </c>
      <c r="D76" s="30">
        <f>D77/D78*100</f>
        <v>9.382847688206637</v>
      </c>
      <c r="E76" s="30">
        <f aca="true" t="shared" si="13" ref="E76:J76">E77/E78*100</f>
        <v>23.39049544994944</v>
      </c>
      <c r="F76" s="30">
        <f t="shared" si="13"/>
        <v>29.5534060506277</v>
      </c>
      <c r="G76" s="30">
        <f t="shared" si="13"/>
        <v>20.50267225191391</v>
      </c>
      <c r="H76" s="30">
        <f t="shared" si="13"/>
        <v>20.50267225191391</v>
      </c>
      <c r="I76" s="30">
        <f t="shared" si="13"/>
        <v>20.50267225191391</v>
      </c>
      <c r="J76" s="30">
        <f t="shared" si="13"/>
        <v>20.50267225191391</v>
      </c>
      <c r="K76" s="113"/>
    </row>
    <row r="77" spans="1:11" ht="63.75">
      <c r="A77" s="179"/>
      <c r="B77" s="182"/>
      <c r="C77" s="111" t="s">
        <v>360</v>
      </c>
      <c r="D77" s="74">
        <v>507</v>
      </c>
      <c r="E77" s="74">
        <v>1149</v>
      </c>
      <c r="F77" s="74">
        <v>1436</v>
      </c>
      <c r="G77" s="74">
        <v>1175</v>
      </c>
      <c r="H77" s="74">
        <v>1175</v>
      </c>
      <c r="I77" s="74">
        <v>1175</v>
      </c>
      <c r="J77" s="74">
        <v>1175</v>
      </c>
      <c r="K77" s="113"/>
    </row>
    <row r="78" spans="1:11" ht="38.25">
      <c r="A78" s="180"/>
      <c r="B78" s="183"/>
      <c r="C78" s="29" t="s">
        <v>86</v>
      </c>
      <c r="D78" s="76">
        <f>165*(4945/151)</f>
        <v>5403.476821192053</v>
      </c>
      <c r="E78" s="76">
        <f>150*(4945/151)</f>
        <v>4912.251655629139</v>
      </c>
      <c r="F78" s="76">
        <v>4859</v>
      </c>
      <c r="G78" s="76">
        <f>175*(4945/151)</f>
        <v>5730.960264900662</v>
      </c>
      <c r="H78" s="76">
        <f>175*(4945/151)</f>
        <v>5730.960264900662</v>
      </c>
      <c r="I78" s="76">
        <f>175*(4945/151)</f>
        <v>5730.960264900662</v>
      </c>
      <c r="J78" s="76">
        <f>175*(4945/151)</f>
        <v>5730.960264900662</v>
      </c>
      <c r="K78" s="113"/>
    </row>
    <row r="79" spans="1:10" ht="15.75">
      <c r="A79" s="184" t="s">
        <v>292</v>
      </c>
      <c r="B79" s="184"/>
      <c r="C79" s="184"/>
      <c r="D79" s="184"/>
      <c r="E79" s="184"/>
      <c r="F79" s="184"/>
      <c r="G79" s="184"/>
      <c r="H79" s="184"/>
      <c r="I79" s="184"/>
      <c r="J79" s="184"/>
    </row>
    <row r="80" spans="1:11" ht="38.25">
      <c r="A80" s="165" t="s">
        <v>116</v>
      </c>
      <c r="B80" s="160" t="s">
        <v>245</v>
      </c>
      <c r="C80" s="11" t="s">
        <v>369</v>
      </c>
      <c r="D80" s="36">
        <f>(D81+D82)/D83*100</f>
        <v>0.8704125261451359</v>
      </c>
      <c r="E80" s="36">
        <f aca="true" t="shared" si="14" ref="E80:J80">(E81+E82)/E83*100</f>
        <v>0.8708312683225953</v>
      </c>
      <c r="F80" s="36">
        <f t="shared" si="14"/>
        <v>1.148730765352537</v>
      </c>
      <c r="G80" s="36">
        <f t="shared" si="14"/>
        <v>1.9657097774670267</v>
      </c>
      <c r="H80" s="36">
        <f t="shared" si="14"/>
        <v>1.9767904413760855</v>
      </c>
      <c r="I80" s="36">
        <f t="shared" si="14"/>
        <v>1.9903974966564097</v>
      </c>
      <c r="J80" s="36">
        <f t="shared" si="14"/>
        <v>1.9912617884413164</v>
      </c>
      <c r="K80" s="113"/>
    </row>
    <row r="81" spans="1:11" ht="12.75">
      <c r="A81" s="165"/>
      <c r="B81" s="163"/>
      <c r="C81" s="11" t="s">
        <v>419</v>
      </c>
      <c r="D81" s="35">
        <v>98.22</v>
      </c>
      <c r="E81" s="35">
        <f>D81+D82</f>
        <v>103.62</v>
      </c>
      <c r="F81" s="35">
        <f>E81+E82</f>
        <v>103.66985000000001</v>
      </c>
      <c r="G81" s="35">
        <v>177.4</v>
      </c>
      <c r="H81" s="35">
        <v>178.4</v>
      </c>
      <c r="I81" s="35">
        <v>178.4</v>
      </c>
      <c r="J81" s="35">
        <f>178.4+I82</f>
        <v>179.62800000000001</v>
      </c>
      <c r="K81" s="113"/>
    </row>
    <row r="82" spans="1:11" ht="12.75">
      <c r="A82" s="165"/>
      <c r="B82" s="163"/>
      <c r="C82" s="11" t="s">
        <v>420</v>
      </c>
      <c r="D82" s="20">
        <v>5.4</v>
      </c>
      <c r="E82" s="20">
        <v>0.04985</v>
      </c>
      <c r="F82" s="20">
        <v>0</v>
      </c>
      <c r="G82" s="20">
        <v>0</v>
      </c>
      <c r="H82" s="20">
        <v>0</v>
      </c>
      <c r="I82" s="20">
        <v>1.228</v>
      </c>
      <c r="J82" s="20">
        <v>0.078</v>
      </c>
      <c r="K82" s="113"/>
    </row>
    <row r="83" spans="1:11" ht="12.75">
      <c r="A83" s="165"/>
      <c r="B83" s="163"/>
      <c r="C83" s="29" t="s">
        <v>246</v>
      </c>
      <c r="D83" s="20">
        <v>11904.7</v>
      </c>
      <c r="E83" s="20">
        <v>11904.7</v>
      </c>
      <c r="F83" s="20">
        <v>9024.73</v>
      </c>
      <c r="G83" s="20">
        <v>9024.73</v>
      </c>
      <c r="H83" s="20">
        <v>9024.73</v>
      </c>
      <c r="I83" s="20">
        <v>9024.73</v>
      </c>
      <c r="J83" s="20">
        <v>9024.73</v>
      </c>
      <c r="K83" s="113"/>
    </row>
    <row r="84" spans="1:10" ht="51">
      <c r="A84" s="165" t="s">
        <v>421</v>
      </c>
      <c r="B84" s="160" t="s">
        <v>245</v>
      </c>
      <c r="C84" s="11" t="s">
        <v>448</v>
      </c>
      <c r="D84" s="103">
        <f>D85/D86*100</f>
        <v>0.5247844556720208</v>
      </c>
      <c r="E84" s="103">
        <f aca="true" t="shared" si="15" ref="E84:J84">E85/E86*100</f>
        <v>0.547893153692113</v>
      </c>
      <c r="F84" s="103">
        <f t="shared" si="15"/>
        <v>0.5502710538001995</v>
      </c>
      <c r="G84" s="103">
        <f t="shared" si="15"/>
        <v>0.5489522325281317</v>
      </c>
      <c r="H84" s="103">
        <f t="shared" si="15"/>
        <v>0.5489522325281317</v>
      </c>
      <c r="I84" s="103">
        <f t="shared" si="15"/>
        <v>0.5489522325281317</v>
      </c>
      <c r="J84" s="103">
        <f t="shared" si="15"/>
        <v>0.5518965387225699</v>
      </c>
    </row>
    <row r="85" spans="1:11" ht="25.5">
      <c r="A85" s="165"/>
      <c r="B85" s="160"/>
      <c r="C85" s="10" t="s">
        <v>422</v>
      </c>
      <c r="D85" s="20" t="s">
        <v>423</v>
      </c>
      <c r="E85" s="20">
        <v>653.905</v>
      </c>
      <c r="F85" s="20">
        <v>656.743</v>
      </c>
      <c r="G85" s="20">
        <f>655.105+0.064</f>
        <v>655.169</v>
      </c>
      <c r="H85" s="20">
        <f>655.105+0.064</f>
        <v>655.169</v>
      </c>
      <c r="I85" s="20">
        <f>655.105+0.064</f>
        <v>655.169</v>
      </c>
      <c r="J85" s="20">
        <f>655.105+0.064+0.532+2.982</f>
        <v>658.683</v>
      </c>
      <c r="K85" s="108" t="s">
        <v>24</v>
      </c>
    </row>
    <row r="86" spans="1:10" ht="25.5">
      <c r="A86" s="165"/>
      <c r="B86" s="160"/>
      <c r="C86" s="11" t="s">
        <v>429</v>
      </c>
      <c r="D86" s="22">
        <v>119349</v>
      </c>
      <c r="E86" s="22">
        <v>119349</v>
      </c>
      <c r="F86" s="22">
        <v>119349</v>
      </c>
      <c r="G86" s="22">
        <v>119349</v>
      </c>
      <c r="H86" s="22">
        <v>119349</v>
      </c>
      <c r="I86" s="22">
        <v>119349</v>
      </c>
      <c r="J86" s="22">
        <v>119349</v>
      </c>
    </row>
    <row r="87" spans="1:10" ht="51">
      <c r="A87" s="191" t="s">
        <v>87</v>
      </c>
      <c r="B87" s="181" t="s">
        <v>69</v>
      </c>
      <c r="C87" s="11" t="s">
        <v>83</v>
      </c>
      <c r="D87" s="45">
        <f aca="true" t="shared" si="16" ref="D87:J87">D88/D91*100</f>
        <v>116.45907119264594</v>
      </c>
      <c r="E87" s="45">
        <f t="shared" si="16"/>
        <v>111.23724711841882</v>
      </c>
      <c r="F87" s="45">
        <f t="shared" si="16"/>
        <v>112.00588884799411</v>
      </c>
      <c r="G87" s="45">
        <f t="shared" si="16"/>
        <v>112.95221632300283</v>
      </c>
      <c r="H87" s="45">
        <f t="shared" si="16"/>
        <v>114.29285232468085</v>
      </c>
      <c r="I87" s="45">
        <f t="shared" si="16"/>
        <v>116.53807959666946</v>
      </c>
      <c r="J87" s="45">
        <f t="shared" si="16"/>
        <v>118.81928398971935</v>
      </c>
    </row>
    <row r="88" spans="1:10" ht="25.5">
      <c r="A88" s="192"/>
      <c r="B88" s="186"/>
      <c r="C88" s="41" t="s">
        <v>120</v>
      </c>
      <c r="D88" s="21">
        <f aca="true" t="shared" si="17" ref="D88:J88">D89+D90</f>
        <v>11706</v>
      </c>
      <c r="E88" s="21">
        <f t="shared" si="17"/>
        <v>11342</v>
      </c>
      <c r="F88" s="21">
        <f t="shared" si="17"/>
        <v>11412</v>
      </c>
      <c r="G88" s="21">
        <f t="shared" si="17"/>
        <v>11435</v>
      </c>
      <c r="H88" s="21">
        <f t="shared" si="17"/>
        <v>11437</v>
      </c>
      <c r="I88" s="21">
        <f t="shared" si="17"/>
        <v>11442</v>
      </c>
      <c r="J88" s="21">
        <f t="shared" si="17"/>
        <v>11442</v>
      </c>
    </row>
    <row r="89" spans="1:10" ht="25.5">
      <c r="A89" s="192"/>
      <c r="B89" s="186"/>
      <c r="C89" s="41" t="s">
        <v>121</v>
      </c>
      <c r="D89" s="20">
        <v>2560</v>
      </c>
      <c r="E89" s="20">
        <v>2224</v>
      </c>
      <c r="F89" s="20">
        <v>2292</v>
      </c>
      <c r="G89" s="20">
        <v>2310</v>
      </c>
      <c r="H89" s="20">
        <v>2310</v>
      </c>
      <c r="I89" s="20">
        <v>2310</v>
      </c>
      <c r="J89" s="20">
        <v>2310</v>
      </c>
    </row>
    <row r="90" spans="1:10" ht="25.5">
      <c r="A90" s="192"/>
      <c r="B90" s="186"/>
      <c r="C90" s="41" t="s">
        <v>122</v>
      </c>
      <c r="D90" s="20">
        <v>9146</v>
      </c>
      <c r="E90" s="20">
        <v>9118</v>
      </c>
      <c r="F90" s="20">
        <v>9120</v>
      </c>
      <c r="G90" s="20">
        <v>9125</v>
      </c>
      <c r="H90" s="20">
        <v>9127</v>
      </c>
      <c r="I90" s="20">
        <v>9132</v>
      </c>
      <c r="J90" s="20">
        <v>9132</v>
      </c>
    </row>
    <row r="91" spans="1:10" ht="25.5">
      <c r="A91" s="192"/>
      <c r="B91" s="186"/>
      <c r="C91" s="41" t="s">
        <v>123</v>
      </c>
      <c r="D91" s="42">
        <f aca="true" t="shared" si="18" ref="D91:J91">D93*D92/100</f>
        <v>10051.6</v>
      </c>
      <c r="E91" s="42">
        <f t="shared" si="18"/>
        <v>10196.225</v>
      </c>
      <c r="F91" s="42">
        <f t="shared" si="18"/>
        <v>10188.75</v>
      </c>
      <c r="G91" s="42">
        <f t="shared" si="18"/>
        <v>10123.75</v>
      </c>
      <c r="H91" s="42">
        <f t="shared" si="18"/>
        <v>10006.75</v>
      </c>
      <c r="I91" s="42">
        <f t="shared" si="18"/>
        <v>9818.25</v>
      </c>
      <c r="J91" s="42">
        <f t="shared" si="18"/>
        <v>9629.75</v>
      </c>
    </row>
    <row r="92" spans="1:10" ht="178.5">
      <c r="A92" s="192"/>
      <c r="B92" s="186"/>
      <c r="C92" s="44" t="s">
        <v>125</v>
      </c>
      <c r="D92" s="40">
        <v>65</v>
      </c>
      <c r="E92" s="40">
        <v>65</v>
      </c>
      <c r="F92" s="40">
        <v>65</v>
      </c>
      <c r="G92" s="40">
        <v>65</v>
      </c>
      <c r="H92" s="40">
        <v>65</v>
      </c>
      <c r="I92" s="40">
        <v>65</v>
      </c>
      <c r="J92" s="40">
        <v>65</v>
      </c>
    </row>
    <row r="93" spans="1:10" ht="25.5">
      <c r="A93" s="193"/>
      <c r="B93" s="186"/>
      <c r="C93" s="43" t="s">
        <v>124</v>
      </c>
      <c r="D93" s="4">
        <f>(15285+15643)/2</f>
        <v>15464</v>
      </c>
      <c r="E93" s="77">
        <f>(15643+15730)/2</f>
        <v>15686.5</v>
      </c>
      <c r="F93" s="46">
        <f>(15730+15620)/2</f>
        <v>15675</v>
      </c>
      <c r="G93" s="46">
        <f>(15620+15530)/2</f>
        <v>15575</v>
      </c>
      <c r="H93" s="46">
        <f>(15530+15260)/2</f>
        <v>15395</v>
      </c>
      <c r="I93" s="46">
        <f>(15260+14950)/2</f>
        <v>15105</v>
      </c>
      <c r="J93" s="46">
        <f>(14680+14950)/2</f>
        <v>14815</v>
      </c>
    </row>
    <row r="94" spans="1:10" ht="51">
      <c r="A94" s="187" t="s">
        <v>161</v>
      </c>
      <c r="B94" s="181" t="s">
        <v>69</v>
      </c>
      <c r="C94" s="11" t="s">
        <v>435</v>
      </c>
      <c r="D94" s="36">
        <f>D95/D96*100</f>
        <v>36.33453691298026</v>
      </c>
      <c r="E94" s="36">
        <f aca="true" t="shared" si="19" ref="E94:J94">E95/E96*100</f>
        <v>36.55361426565539</v>
      </c>
      <c r="F94" s="36">
        <f t="shared" si="19"/>
        <v>36.765384337463246</v>
      </c>
      <c r="G94" s="36">
        <f t="shared" si="19"/>
        <v>36.88031051645176</v>
      </c>
      <c r="H94" s="36">
        <f t="shared" si="19"/>
        <v>37.014124388633334</v>
      </c>
      <c r="I94" s="36">
        <f t="shared" si="19"/>
        <v>37.15196450136209</v>
      </c>
      <c r="J94" s="36">
        <f t="shared" si="19"/>
        <v>37.29903627638398</v>
      </c>
    </row>
    <row r="95" spans="1:10" ht="38.25">
      <c r="A95" s="188"/>
      <c r="B95" s="182"/>
      <c r="C95" s="10" t="s">
        <v>436</v>
      </c>
      <c r="D95" s="20">
        <v>132.287</v>
      </c>
      <c r="E95" s="20">
        <v>132.287</v>
      </c>
      <c r="F95" s="20">
        <v>132.287</v>
      </c>
      <c r="G95" s="20">
        <v>132.287</v>
      </c>
      <c r="H95" s="20">
        <v>132.287</v>
      </c>
      <c r="I95" s="20">
        <v>132.287</v>
      </c>
      <c r="J95" s="20">
        <v>132.287</v>
      </c>
    </row>
    <row r="96" spans="1:10" ht="38.25">
      <c r="A96" s="188"/>
      <c r="B96" s="182"/>
      <c r="C96" s="10" t="s">
        <v>437</v>
      </c>
      <c r="D96" s="36">
        <f>D97</f>
        <v>364.0806</v>
      </c>
      <c r="E96" s="36">
        <f aca="true" t="shared" si="20" ref="E96:J96">E97</f>
        <v>361.89855</v>
      </c>
      <c r="F96" s="36">
        <f>F97</f>
        <v>359.814</v>
      </c>
      <c r="G96" s="36">
        <f t="shared" si="20"/>
        <v>358.69275</v>
      </c>
      <c r="H96" s="36">
        <f t="shared" si="20"/>
        <v>357.396</v>
      </c>
      <c r="I96" s="36">
        <f t="shared" si="20"/>
        <v>356.07000000000005</v>
      </c>
      <c r="J96" s="36">
        <f t="shared" si="20"/>
        <v>354.666</v>
      </c>
    </row>
    <row r="97" spans="1:10" ht="51">
      <c r="A97" s="189"/>
      <c r="B97" s="186"/>
      <c r="C97" s="12" t="s">
        <v>438</v>
      </c>
      <c r="D97" s="36">
        <f aca="true" t="shared" si="21" ref="D97:J97">D98*(D99/10000)</f>
        <v>364.0806</v>
      </c>
      <c r="E97" s="36">
        <f t="shared" si="21"/>
        <v>361.89855</v>
      </c>
      <c r="F97" s="36">
        <f t="shared" si="21"/>
        <v>359.814</v>
      </c>
      <c r="G97" s="36">
        <f t="shared" si="21"/>
        <v>358.69275</v>
      </c>
      <c r="H97" s="36">
        <f t="shared" si="21"/>
        <v>357.396</v>
      </c>
      <c r="I97" s="36">
        <f t="shared" si="21"/>
        <v>356.07000000000005</v>
      </c>
      <c r="J97" s="36">
        <f t="shared" si="21"/>
        <v>354.666</v>
      </c>
    </row>
    <row r="98" spans="1:10" ht="38.25">
      <c r="A98" s="189"/>
      <c r="B98" s="186"/>
      <c r="C98" s="12" t="s">
        <v>372</v>
      </c>
      <c r="D98" s="20">
        <v>19.5</v>
      </c>
      <c r="E98" s="20">
        <v>19.5</v>
      </c>
      <c r="F98" s="20">
        <v>19.5</v>
      </c>
      <c r="G98" s="20">
        <v>19.5</v>
      </c>
      <c r="H98" s="20">
        <v>19.5</v>
      </c>
      <c r="I98" s="20">
        <v>19.5</v>
      </c>
      <c r="J98" s="20">
        <v>19.5</v>
      </c>
    </row>
    <row r="99" spans="1:10" ht="25.5">
      <c r="A99" s="190"/>
      <c r="B99" s="167"/>
      <c r="C99" s="12" t="s">
        <v>25</v>
      </c>
      <c r="D99" s="22">
        <v>186708</v>
      </c>
      <c r="E99" s="22">
        <v>185589</v>
      </c>
      <c r="F99" s="22">
        <v>184520</v>
      </c>
      <c r="G99" s="22">
        <f>G18</f>
        <v>183945</v>
      </c>
      <c r="H99" s="22">
        <f>H18</f>
        <v>183280</v>
      </c>
      <c r="I99" s="22">
        <f>I18</f>
        <v>182600</v>
      </c>
      <c r="J99" s="22">
        <f>J18</f>
        <v>181880</v>
      </c>
    </row>
    <row r="100" spans="1:10" ht="15.75">
      <c r="A100" s="164" t="s">
        <v>325</v>
      </c>
      <c r="B100" s="164"/>
      <c r="C100" s="164"/>
      <c r="D100" s="164"/>
      <c r="E100" s="164"/>
      <c r="F100" s="164"/>
      <c r="G100" s="164"/>
      <c r="H100" s="164"/>
      <c r="I100" s="164"/>
      <c r="J100" s="164"/>
    </row>
    <row r="101" spans="1:10" ht="63.75">
      <c r="A101" s="165" t="s">
        <v>425</v>
      </c>
      <c r="B101" s="160" t="s">
        <v>69</v>
      </c>
      <c r="C101" s="17" t="s">
        <v>426</v>
      </c>
      <c r="D101" s="75">
        <f>D102/D103*100</f>
        <v>24.056603773584907</v>
      </c>
      <c r="E101" s="75">
        <f aca="true" t="shared" si="22" ref="E101:J101">E102/E103*100</f>
        <v>22.169811320754718</v>
      </c>
      <c r="F101" s="75">
        <f t="shared" si="22"/>
        <v>4.716981132075472</v>
      </c>
      <c r="G101" s="75">
        <f t="shared" si="22"/>
        <v>4.368932038834951</v>
      </c>
      <c r="H101" s="75">
        <f t="shared" si="22"/>
        <v>3.3980582524271843</v>
      </c>
      <c r="I101" s="75">
        <f t="shared" si="22"/>
        <v>2.4271844660194173</v>
      </c>
      <c r="J101" s="75">
        <f t="shared" si="22"/>
        <v>1.4563106796116505</v>
      </c>
    </row>
    <row r="102" spans="1:10" ht="38.25">
      <c r="A102" s="165"/>
      <c r="B102" s="160"/>
      <c r="C102" s="10" t="s">
        <v>198</v>
      </c>
      <c r="D102" s="20" t="s">
        <v>427</v>
      </c>
      <c r="E102" s="20">
        <f>D102-4</f>
        <v>47</v>
      </c>
      <c r="F102" s="20">
        <f>E102-35-2</f>
        <v>10</v>
      </c>
      <c r="G102" s="20">
        <f>F102-1</f>
        <v>9</v>
      </c>
      <c r="H102" s="20">
        <f>G102-2</f>
        <v>7</v>
      </c>
      <c r="I102" s="20">
        <f>H102-2</f>
        <v>5</v>
      </c>
      <c r="J102" s="20">
        <f>I102-2</f>
        <v>3</v>
      </c>
    </row>
    <row r="103" spans="1:10" ht="25.5">
      <c r="A103" s="165"/>
      <c r="B103" s="160"/>
      <c r="C103" s="19" t="s">
        <v>199</v>
      </c>
      <c r="D103" s="20" t="s">
        <v>428</v>
      </c>
      <c r="E103" s="20" t="s">
        <v>428</v>
      </c>
      <c r="F103" s="20" t="s">
        <v>428</v>
      </c>
      <c r="G103" s="20">
        <v>206</v>
      </c>
      <c r="H103" s="20">
        <v>206</v>
      </c>
      <c r="I103" s="20">
        <v>206</v>
      </c>
      <c r="J103" s="20">
        <v>206</v>
      </c>
    </row>
    <row r="104" spans="1:10" ht="63.75">
      <c r="A104" s="162" t="s">
        <v>162</v>
      </c>
      <c r="B104" s="160" t="s">
        <v>69</v>
      </c>
      <c r="C104" s="10" t="s">
        <v>23</v>
      </c>
      <c r="D104" s="75">
        <f>D105/D106*100</f>
        <v>0</v>
      </c>
      <c r="E104" s="75">
        <f aca="true" t="shared" si="23" ref="E104:J104">E105/E106*100</f>
        <v>16.666666666666664</v>
      </c>
      <c r="F104" s="75">
        <f t="shared" si="23"/>
        <v>100</v>
      </c>
      <c r="G104" s="75">
        <f t="shared" si="23"/>
        <v>100</v>
      </c>
      <c r="H104" s="75">
        <f t="shared" si="23"/>
        <v>100</v>
      </c>
      <c r="I104" s="75">
        <f t="shared" si="23"/>
        <v>100</v>
      </c>
      <c r="J104" s="75">
        <f t="shared" si="23"/>
        <v>100</v>
      </c>
    </row>
    <row r="105" spans="1:11" ht="25.5">
      <c r="A105" s="162"/>
      <c r="B105" s="160"/>
      <c r="C105" s="10" t="s">
        <v>417</v>
      </c>
      <c r="D105" s="37">
        <v>0</v>
      </c>
      <c r="E105" s="37">
        <v>2</v>
      </c>
      <c r="F105" s="37">
        <v>1</v>
      </c>
      <c r="G105" s="37">
        <v>1</v>
      </c>
      <c r="H105" s="37">
        <v>1</v>
      </c>
      <c r="I105" s="37">
        <v>1</v>
      </c>
      <c r="J105" s="37">
        <v>1</v>
      </c>
      <c r="K105" s="185" t="s">
        <v>17</v>
      </c>
    </row>
    <row r="106" spans="1:11" ht="25.5">
      <c r="A106" s="163"/>
      <c r="B106" s="160"/>
      <c r="C106" s="10" t="s">
        <v>415</v>
      </c>
      <c r="D106" s="37" t="s">
        <v>416</v>
      </c>
      <c r="E106" s="37" t="s">
        <v>416</v>
      </c>
      <c r="F106" s="37">
        <v>1</v>
      </c>
      <c r="G106" s="37">
        <v>1</v>
      </c>
      <c r="H106" s="37">
        <v>1</v>
      </c>
      <c r="I106" s="37">
        <v>1</v>
      </c>
      <c r="J106" s="37">
        <v>1</v>
      </c>
      <c r="K106" s="185"/>
    </row>
    <row r="107" spans="1:10" ht="38.25">
      <c r="A107" s="165" t="s">
        <v>258</v>
      </c>
      <c r="B107" s="161" t="s">
        <v>418</v>
      </c>
      <c r="C107" s="11" t="s">
        <v>163</v>
      </c>
      <c r="D107" s="36">
        <f>D108/D109</f>
        <v>0.16244617263320266</v>
      </c>
      <c r="E107" s="36">
        <f aca="true" t="shared" si="24" ref="E107:J107">E108/E109</f>
        <v>0.19954307636767266</v>
      </c>
      <c r="F107" s="36">
        <f t="shared" si="24"/>
        <v>0.242943312378062</v>
      </c>
      <c r="G107" s="36">
        <f t="shared" si="24"/>
        <v>0.31153333876974093</v>
      </c>
      <c r="H107" s="36">
        <f t="shared" si="24"/>
        <v>0.33365888258402443</v>
      </c>
      <c r="I107" s="36">
        <f t="shared" si="24"/>
        <v>0.37292442497261774</v>
      </c>
      <c r="J107" s="36">
        <f t="shared" si="24"/>
        <v>0.4945788431933143</v>
      </c>
    </row>
    <row r="108" spans="1:10" ht="25.5">
      <c r="A108" s="165"/>
      <c r="B108" s="161"/>
      <c r="C108" s="11" t="s">
        <v>164</v>
      </c>
      <c r="D108" s="35">
        <f>D15</f>
        <v>30330</v>
      </c>
      <c r="E108" s="35">
        <f aca="true" t="shared" si="25" ref="E108:J108">E15</f>
        <v>37033</v>
      </c>
      <c r="F108" s="35">
        <f t="shared" si="25"/>
        <v>44827.9</v>
      </c>
      <c r="G108" s="35">
        <f t="shared" si="25"/>
        <v>57305</v>
      </c>
      <c r="H108" s="35">
        <f t="shared" si="25"/>
        <v>61153</v>
      </c>
      <c r="I108" s="35">
        <f t="shared" si="25"/>
        <v>68096</v>
      </c>
      <c r="J108" s="35">
        <f t="shared" si="25"/>
        <v>89954</v>
      </c>
    </row>
    <row r="109" spans="1:10" ht="12.75">
      <c r="A109" s="165"/>
      <c r="B109" s="161"/>
      <c r="C109" s="11" t="s">
        <v>410</v>
      </c>
      <c r="D109" s="22">
        <v>186708</v>
      </c>
      <c r="E109" s="22">
        <v>185589</v>
      </c>
      <c r="F109" s="22">
        <v>184520</v>
      </c>
      <c r="G109" s="22">
        <f>G18</f>
        <v>183945</v>
      </c>
      <c r="H109" s="22">
        <f>H18</f>
        <v>183280</v>
      </c>
      <c r="I109" s="22">
        <f>I18</f>
        <v>182600</v>
      </c>
      <c r="J109" s="22">
        <f>J18</f>
        <v>181880</v>
      </c>
    </row>
    <row r="110" spans="1:10" ht="51">
      <c r="A110" s="165" t="s">
        <v>180</v>
      </c>
      <c r="B110" s="160" t="s">
        <v>29</v>
      </c>
      <c r="C110" s="17" t="s">
        <v>321</v>
      </c>
      <c r="D110" s="103">
        <f>D111/D112*10000</f>
        <v>1.258649870385843</v>
      </c>
      <c r="E110" s="103">
        <f aca="true" t="shared" si="26" ref="E110:J110">E111/E112*10000</f>
        <v>1.0776500762437429</v>
      </c>
      <c r="F110" s="103">
        <f t="shared" si="26"/>
        <v>2.4929546932581834</v>
      </c>
      <c r="G110" s="103">
        <f t="shared" si="26"/>
        <v>0.9785533719318275</v>
      </c>
      <c r="H110" s="103">
        <f t="shared" si="26"/>
        <v>0.9821038847664775</v>
      </c>
      <c r="I110" s="103">
        <f t="shared" si="26"/>
        <v>0.9857612267250822</v>
      </c>
      <c r="J110" s="103">
        <f t="shared" si="26"/>
        <v>0.9896635144051023</v>
      </c>
    </row>
    <row r="111" spans="1:10" ht="25.5">
      <c r="A111" s="165"/>
      <c r="B111" s="160"/>
      <c r="C111" s="11" t="s">
        <v>430</v>
      </c>
      <c r="D111" s="20">
        <v>23.5</v>
      </c>
      <c r="E111" s="20">
        <v>20</v>
      </c>
      <c r="F111" s="20">
        <v>46</v>
      </c>
      <c r="G111" s="20">
        <v>18</v>
      </c>
      <c r="H111" s="20">
        <v>18</v>
      </c>
      <c r="I111" s="20">
        <v>18</v>
      </c>
      <c r="J111" s="20">
        <v>18</v>
      </c>
    </row>
    <row r="112" spans="1:10" ht="12.75">
      <c r="A112" s="165"/>
      <c r="B112" s="160"/>
      <c r="C112" s="11" t="s">
        <v>410</v>
      </c>
      <c r="D112" s="22">
        <v>186708</v>
      </c>
      <c r="E112" s="22">
        <v>185589</v>
      </c>
      <c r="F112" s="22">
        <v>184520</v>
      </c>
      <c r="G112" s="22">
        <f>G18</f>
        <v>183945</v>
      </c>
      <c r="H112" s="22">
        <f>H18</f>
        <v>183280</v>
      </c>
      <c r="I112" s="22">
        <f>I18</f>
        <v>182600</v>
      </c>
      <c r="J112" s="22">
        <f>J18</f>
        <v>181880</v>
      </c>
    </row>
    <row r="113" spans="1:10" ht="15.75">
      <c r="A113" s="164" t="s">
        <v>310</v>
      </c>
      <c r="B113" s="164"/>
      <c r="C113" s="164"/>
      <c r="D113" s="164"/>
      <c r="E113" s="164"/>
      <c r="F113" s="164"/>
      <c r="G113" s="164"/>
      <c r="H113" s="164"/>
      <c r="I113" s="164"/>
      <c r="J113" s="164"/>
    </row>
    <row r="114" spans="1:10" ht="127.5">
      <c r="A114" s="166" t="s">
        <v>43</v>
      </c>
      <c r="B114" s="160" t="s">
        <v>69</v>
      </c>
      <c r="C114" s="106" t="s">
        <v>41</v>
      </c>
      <c r="D114" s="75">
        <f aca="true" t="shared" si="27" ref="D114:J114">D115/D116*100</f>
        <v>69.57072407867977</v>
      </c>
      <c r="E114" s="75">
        <f t="shared" si="27"/>
        <v>65.7142617291597</v>
      </c>
      <c r="F114" s="75">
        <f t="shared" si="27"/>
        <v>47.680118143459914</v>
      </c>
      <c r="G114" s="75">
        <f t="shared" si="27"/>
        <v>35.65622364104088</v>
      </c>
      <c r="H114" s="75">
        <f t="shared" si="27"/>
        <v>49.2248</v>
      </c>
      <c r="I114" s="75">
        <f t="shared" si="27"/>
        <v>50.8</v>
      </c>
      <c r="J114" s="75">
        <f t="shared" si="27"/>
        <v>52.52719999999999</v>
      </c>
    </row>
    <row r="115" spans="1:10" ht="76.5">
      <c r="A115" s="166"/>
      <c r="B115" s="160"/>
      <c r="C115" s="107" t="s">
        <v>42</v>
      </c>
      <c r="D115" s="30">
        <v>42350.9</v>
      </c>
      <c r="E115" s="30">
        <v>70451.8</v>
      </c>
      <c r="F115" s="30">
        <v>33900.564</v>
      </c>
      <c r="G115" s="30">
        <v>23757.1</v>
      </c>
      <c r="H115" s="30">
        <v>24612.4</v>
      </c>
      <c r="I115" s="30">
        <v>25400</v>
      </c>
      <c r="J115" s="30">
        <v>26263.6</v>
      </c>
    </row>
    <row r="116" spans="1:10" ht="38.25">
      <c r="A116" s="166"/>
      <c r="B116" s="160"/>
      <c r="C116" s="107" t="s">
        <v>40</v>
      </c>
      <c r="D116" s="30">
        <v>60874.6</v>
      </c>
      <c r="E116" s="30">
        <v>107209.3</v>
      </c>
      <c r="F116" s="30">
        <v>71100</v>
      </c>
      <c r="G116" s="30">
        <v>66628.2</v>
      </c>
      <c r="H116" s="30">
        <v>50000</v>
      </c>
      <c r="I116" s="30">
        <v>50000</v>
      </c>
      <c r="J116" s="30">
        <v>50000</v>
      </c>
    </row>
    <row r="117" spans="1:10" ht="89.25">
      <c r="A117" s="165" t="s">
        <v>440</v>
      </c>
      <c r="B117" s="160" t="s">
        <v>69</v>
      </c>
      <c r="C117" s="17" t="s">
        <v>441</v>
      </c>
      <c r="D117" s="104">
        <f>D118/D119*100</f>
        <v>76.41686698717949</v>
      </c>
      <c r="E117" s="104">
        <f aca="true" t="shared" si="28" ref="E117:J117">E118/E119*100</f>
        <v>66.52936181791459</v>
      </c>
      <c r="F117" s="104">
        <f t="shared" si="28"/>
        <v>67.50069179111439</v>
      </c>
      <c r="G117" s="104">
        <f t="shared" si="28"/>
        <v>40.476190476190474</v>
      </c>
      <c r="H117" s="104">
        <f t="shared" si="28"/>
        <v>52.836000000000006</v>
      </c>
      <c r="I117" s="104">
        <f t="shared" si="28"/>
        <v>54.526799999999994</v>
      </c>
      <c r="J117" s="104">
        <f t="shared" si="28"/>
        <v>56.3808</v>
      </c>
    </row>
    <row r="118" spans="1:10" ht="38.25">
      <c r="A118" s="165"/>
      <c r="B118" s="160"/>
      <c r="C118" s="11" t="s">
        <v>444</v>
      </c>
      <c r="D118" s="30">
        <v>38147.3</v>
      </c>
      <c r="E118" s="30">
        <v>54768.9</v>
      </c>
      <c r="F118" s="35">
        <v>64032.81</v>
      </c>
      <c r="G118" s="35">
        <v>25500</v>
      </c>
      <c r="H118" s="35">
        <v>26418</v>
      </c>
      <c r="I118" s="35">
        <v>27263.4</v>
      </c>
      <c r="J118" s="35">
        <v>28190.4</v>
      </c>
    </row>
    <row r="119" spans="1:10" ht="38.25">
      <c r="A119" s="165"/>
      <c r="B119" s="160"/>
      <c r="C119" s="10" t="s">
        <v>443</v>
      </c>
      <c r="D119" s="30">
        <v>49920</v>
      </c>
      <c r="E119" s="30">
        <v>82322.9</v>
      </c>
      <c r="F119" s="30">
        <v>94862.45</v>
      </c>
      <c r="G119" s="30">
        <v>63000</v>
      </c>
      <c r="H119" s="30">
        <v>50000</v>
      </c>
      <c r="I119" s="30">
        <v>50000</v>
      </c>
      <c r="J119" s="30">
        <v>50000</v>
      </c>
    </row>
    <row r="120" spans="1:10" ht="15.75">
      <c r="A120" s="184" t="s">
        <v>311</v>
      </c>
      <c r="B120" s="184"/>
      <c r="C120" s="184"/>
      <c r="D120" s="184"/>
      <c r="E120" s="184"/>
      <c r="F120" s="184"/>
      <c r="G120" s="184"/>
      <c r="H120" s="184"/>
      <c r="I120" s="184"/>
      <c r="J120" s="184"/>
    </row>
    <row r="121" spans="1:10" ht="38.25">
      <c r="A121" s="165" t="s">
        <v>446</v>
      </c>
      <c r="B121" s="160" t="s">
        <v>69</v>
      </c>
      <c r="C121" s="38" t="s">
        <v>447</v>
      </c>
      <c r="D121" s="75">
        <f>D122/D123*100</f>
        <v>3.552606208625233</v>
      </c>
      <c r="E121" s="75">
        <f aca="true" t="shared" si="29" ref="E121:J121">E122/E123*100</f>
        <v>3.216785477587573</v>
      </c>
      <c r="F121" s="75">
        <f t="shared" si="29"/>
        <v>0</v>
      </c>
      <c r="G121" s="75">
        <f t="shared" si="29"/>
        <v>0</v>
      </c>
      <c r="H121" s="75">
        <f t="shared" si="29"/>
        <v>0</v>
      </c>
      <c r="I121" s="75">
        <f t="shared" si="29"/>
        <v>0</v>
      </c>
      <c r="J121" s="75">
        <f t="shared" si="29"/>
        <v>0</v>
      </c>
    </row>
    <row r="122" spans="1:10" ht="25.5">
      <c r="A122" s="165"/>
      <c r="B122" s="160"/>
      <c r="C122" s="11" t="s">
        <v>449</v>
      </c>
      <c r="D122" s="22">
        <v>6633</v>
      </c>
      <c r="E122" s="22">
        <v>5970</v>
      </c>
      <c r="F122" s="22"/>
      <c r="G122" s="22"/>
      <c r="H122" s="22"/>
      <c r="I122" s="22"/>
      <c r="J122" s="22"/>
    </row>
    <row r="123" spans="1:10" ht="12.75">
      <c r="A123" s="165"/>
      <c r="B123" s="160"/>
      <c r="C123" s="11" t="s">
        <v>410</v>
      </c>
      <c r="D123" s="22">
        <v>186708</v>
      </c>
      <c r="E123" s="22">
        <v>185589</v>
      </c>
      <c r="F123" s="22">
        <v>184520</v>
      </c>
      <c r="G123" s="22">
        <f>G18</f>
        <v>183945</v>
      </c>
      <c r="H123" s="22">
        <f>H18</f>
        <v>183280</v>
      </c>
      <c r="I123" s="22">
        <f>I18</f>
        <v>182600</v>
      </c>
      <c r="J123" s="22">
        <f>J18</f>
        <v>181880</v>
      </c>
    </row>
    <row r="124" spans="1:10" ht="63.75">
      <c r="A124" s="165" t="s">
        <v>107</v>
      </c>
      <c r="B124" s="160" t="s">
        <v>69</v>
      </c>
      <c r="C124" s="11" t="s">
        <v>105</v>
      </c>
      <c r="D124" s="75">
        <f>D125/D126*100</f>
        <v>4.669260700389105</v>
      </c>
      <c r="E124" s="75">
        <f aca="true" t="shared" si="30" ref="E124:J124">E125/E126*100</f>
        <v>3.272727272727273</v>
      </c>
      <c r="F124" s="75">
        <f t="shared" si="30"/>
        <v>1.4545454545454546</v>
      </c>
      <c r="G124" s="75">
        <f t="shared" si="30"/>
        <v>1.090909090909091</v>
      </c>
      <c r="H124" s="75">
        <f t="shared" si="30"/>
        <v>1.090909090909091</v>
      </c>
      <c r="I124" s="75">
        <f t="shared" si="30"/>
        <v>1.090909090909091</v>
      </c>
      <c r="J124" s="75">
        <f t="shared" si="30"/>
        <v>1.090909090909091</v>
      </c>
    </row>
    <row r="125" spans="1:10" ht="25.5">
      <c r="A125" s="165"/>
      <c r="B125" s="160"/>
      <c r="C125" s="10" t="s">
        <v>450</v>
      </c>
      <c r="D125" s="20">
        <v>12</v>
      </c>
      <c r="E125" s="35">
        <v>9</v>
      </c>
      <c r="F125" s="35">
        <v>4</v>
      </c>
      <c r="G125" s="35">
        <v>3</v>
      </c>
      <c r="H125" s="35">
        <v>3</v>
      </c>
      <c r="I125" s="35">
        <v>3</v>
      </c>
      <c r="J125" s="35">
        <v>3</v>
      </c>
    </row>
    <row r="126" spans="1:10" ht="38.25">
      <c r="A126" s="165"/>
      <c r="B126" s="160"/>
      <c r="C126" s="10" t="s">
        <v>104</v>
      </c>
      <c r="D126" s="20">
        <v>257</v>
      </c>
      <c r="E126" s="20">
        <v>275</v>
      </c>
      <c r="F126" s="20">
        <v>275</v>
      </c>
      <c r="G126" s="20">
        <v>275</v>
      </c>
      <c r="H126" s="20">
        <v>275</v>
      </c>
      <c r="I126" s="20">
        <v>275</v>
      </c>
      <c r="J126" s="20">
        <v>275</v>
      </c>
    </row>
    <row r="127" spans="1:10" ht="144" customHeight="1">
      <c r="A127" s="165" t="s">
        <v>216</v>
      </c>
      <c r="B127" s="160" t="s">
        <v>69</v>
      </c>
      <c r="C127" s="38" t="s">
        <v>217</v>
      </c>
      <c r="D127" s="75" t="s">
        <v>249</v>
      </c>
      <c r="E127" s="75" t="s">
        <v>249</v>
      </c>
      <c r="F127" s="75">
        <f>F128/F129*100</f>
        <v>15.384615384615385</v>
      </c>
      <c r="G127" s="75">
        <f>G128/G129*100</f>
        <v>4.545454545454546</v>
      </c>
      <c r="H127" s="75">
        <f>H128/H129*100</f>
        <v>4.545454545454546</v>
      </c>
      <c r="I127" s="75">
        <f>I128/I129*100</f>
        <v>4.545454545454546</v>
      </c>
      <c r="J127" s="75">
        <f>J128/J129*100</f>
        <v>4.545454545454546</v>
      </c>
    </row>
    <row r="128" spans="1:10" ht="69" customHeight="1">
      <c r="A128" s="165"/>
      <c r="B128" s="160"/>
      <c r="C128" s="29" t="s">
        <v>224</v>
      </c>
      <c r="D128" s="22" t="s">
        <v>249</v>
      </c>
      <c r="E128" s="22" t="s">
        <v>249</v>
      </c>
      <c r="F128" s="35">
        <v>2</v>
      </c>
      <c r="G128" s="35">
        <v>1</v>
      </c>
      <c r="H128" s="35">
        <v>1</v>
      </c>
      <c r="I128" s="35">
        <v>1</v>
      </c>
      <c r="J128" s="35">
        <v>1</v>
      </c>
    </row>
    <row r="129" spans="1:10" ht="78.75" customHeight="1">
      <c r="A129" s="165"/>
      <c r="B129" s="160"/>
      <c r="C129" s="29" t="s">
        <v>225</v>
      </c>
      <c r="D129" s="22" t="s">
        <v>249</v>
      </c>
      <c r="E129" s="22" t="s">
        <v>249</v>
      </c>
      <c r="F129" s="22">
        <v>13</v>
      </c>
      <c r="G129" s="22">
        <v>22</v>
      </c>
      <c r="H129" s="22">
        <v>22</v>
      </c>
      <c r="I129" s="22">
        <v>22</v>
      </c>
      <c r="J129" s="22">
        <v>22</v>
      </c>
    </row>
    <row r="130" spans="1:10" ht="76.5">
      <c r="A130" s="165" t="s">
        <v>140</v>
      </c>
      <c r="B130" s="160" t="s">
        <v>69</v>
      </c>
      <c r="C130" s="11" t="s">
        <v>111</v>
      </c>
      <c r="D130" s="75">
        <f>D131/D132*100</f>
        <v>0.27613412228796846</v>
      </c>
      <c r="E130" s="103">
        <f aca="true" t="shared" si="31" ref="E130:J130">E131/E132*100</f>
        <v>0.08047901107391192</v>
      </c>
      <c r="F130" s="103">
        <f t="shared" si="31"/>
        <v>0.016097875080489377</v>
      </c>
      <c r="G130" s="103">
        <f t="shared" si="31"/>
        <v>0.08051789107539695</v>
      </c>
      <c r="H130" s="103">
        <f t="shared" si="31"/>
        <v>0.08051789107539695</v>
      </c>
      <c r="I130" s="103">
        <f t="shared" si="31"/>
        <v>0.08051789107539695</v>
      </c>
      <c r="J130" s="103">
        <f t="shared" si="31"/>
        <v>0.08051789107539695</v>
      </c>
    </row>
    <row r="131" spans="1:10" ht="25.5">
      <c r="A131" s="165"/>
      <c r="B131" s="160"/>
      <c r="C131" s="10" t="s">
        <v>197</v>
      </c>
      <c r="D131" s="20">
        <v>14</v>
      </c>
      <c r="E131" s="20">
        <v>5</v>
      </c>
      <c r="F131" s="20">
        <v>1</v>
      </c>
      <c r="G131" s="20">
        <v>5</v>
      </c>
      <c r="H131" s="20">
        <v>5</v>
      </c>
      <c r="I131" s="20">
        <v>5</v>
      </c>
      <c r="J131" s="20">
        <v>5</v>
      </c>
    </row>
    <row r="132" spans="1:10" ht="38.25">
      <c r="A132" s="165"/>
      <c r="B132" s="160"/>
      <c r="C132" s="10" t="s">
        <v>9</v>
      </c>
      <c r="D132" s="20">
        <v>5070</v>
      </c>
      <c r="E132" s="74">
        <f>2388*2.6+4</f>
        <v>6212.8</v>
      </c>
      <c r="F132" s="74">
        <v>6212</v>
      </c>
      <c r="G132" s="74">
        <f>2388*2.6+1</f>
        <v>6209.8</v>
      </c>
      <c r="H132" s="74">
        <f>2388*2.6+1</f>
        <v>6209.8</v>
      </c>
      <c r="I132" s="74">
        <f>2388*2.6+1</f>
        <v>6209.8</v>
      </c>
      <c r="J132" s="74">
        <f>2388*2.6+1</f>
        <v>6209.8</v>
      </c>
    </row>
    <row r="133" spans="1:10" ht="63.75">
      <c r="A133" s="165" t="s">
        <v>149</v>
      </c>
      <c r="B133" s="160" t="s">
        <v>69</v>
      </c>
      <c r="C133" s="11" t="s">
        <v>10</v>
      </c>
      <c r="D133" s="75">
        <f>D134/D135*100</f>
        <v>5.839416058394161</v>
      </c>
      <c r="E133" s="75">
        <f aca="true" t="shared" si="32" ref="E133:J133">E134/E135*100</f>
        <v>7.352941176470589</v>
      </c>
      <c r="F133" s="75">
        <f t="shared" si="32"/>
        <v>6.25</v>
      </c>
      <c r="G133" s="75">
        <f t="shared" si="32"/>
        <v>5.844155844155844</v>
      </c>
      <c r="H133" s="75">
        <f t="shared" si="32"/>
        <v>7.586206896551724</v>
      </c>
      <c r="I133" s="75">
        <f t="shared" si="32"/>
        <v>8.02919708029197</v>
      </c>
      <c r="J133" s="75">
        <f t="shared" si="32"/>
        <v>8.527131782945736</v>
      </c>
    </row>
    <row r="134" spans="1:10" ht="38.25">
      <c r="A134" s="165"/>
      <c r="B134" s="160"/>
      <c r="C134" s="11" t="s">
        <v>11</v>
      </c>
      <c r="D134" s="20">
        <v>8</v>
      </c>
      <c r="E134" s="35">
        <f>прил_4!J288</f>
        <v>10</v>
      </c>
      <c r="F134" s="35">
        <v>13</v>
      </c>
      <c r="G134" s="35">
        <f>прил_4!L288</f>
        <v>9</v>
      </c>
      <c r="H134" s="35">
        <f>прил_4!M288</f>
        <v>11</v>
      </c>
      <c r="I134" s="35">
        <f>прил_4!N288</f>
        <v>11</v>
      </c>
      <c r="J134" s="35">
        <f>прил_4!O288</f>
        <v>11</v>
      </c>
    </row>
    <row r="135" spans="1:10" ht="38.25">
      <c r="A135" s="165"/>
      <c r="B135" s="160"/>
      <c r="C135" s="11" t="s">
        <v>13</v>
      </c>
      <c r="D135" s="20" t="s">
        <v>14</v>
      </c>
      <c r="E135" s="20">
        <v>136</v>
      </c>
      <c r="F135" s="20">
        <v>208</v>
      </c>
      <c r="G135" s="20">
        <f>163-9</f>
        <v>154</v>
      </c>
      <c r="H135" s="20">
        <v>145</v>
      </c>
      <c r="I135" s="20">
        <v>137</v>
      </c>
      <c r="J135" s="20">
        <v>129</v>
      </c>
    </row>
    <row r="136" ht="12.75"/>
    <row r="137" ht="15.75">
      <c r="C137" s="51"/>
    </row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</sheetData>
  <sheetProtection/>
  <mergeCells count="64">
    <mergeCell ref="A1:J3"/>
    <mergeCell ref="A11:A13"/>
    <mergeCell ref="B11:B13"/>
    <mergeCell ref="C11:C13"/>
    <mergeCell ref="D11:J11"/>
    <mergeCell ref="B70:B72"/>
    <mergeCell ref="A6:J9"/>
    <mergeCell ref="A16:A18"/>
    <mergeCell ref="B16:B18"/>
    <mergeCell ref="B19:B21"/>
    <mergeCell ref="A70:A72"/>
    <mergeCell ref="A67:A69"/>
    <mergeCell ref="A22:A34"/>
    <mergeCell ref="A19:A21"/>
    <mergeCell ref="B35:B37"/>
    <mergeCell ref="A41:A46"/>
    <mergeCell ref="B41:B46"/>
    <mergeCell ref="A66:J66"/>
    <mergeCell ref="B47:B65"/>
    <mergeCell ref="A47:A65"/>
    <mergeCell ref="A133:A135"/>
    <mergeCell ref="B133:B135"/>
    <mergeCell ref="A120:J120"/>
    <mergeCell ref="A121:A123"/>
    <mergeCell ref="B121:B123"/>
    <mergeCell ref="A124:A126"/>
    <mergeCell ref="B124:B126"/>
    <mergeCell ref="A130:A132"/>
    <mergeCell ref="B130:B132"/>
    <mergeCell ref="A127:A129"/>
    <mergeCell ref="B22:B34"/>
    <mergeCell ref="A38:A40"/>
    <mergeCell ref="K105:K106"/>
    <mergeCell ref="B67:B69"/>
    <mergeCell ref="A80:A83"/>
    <mergeCell ref="B80:B83"/>
    <mergeCell ref="B87:B93"/>
    <mergeCell ref="A94:A99"/>
    <mergeCell ref="B94:B99"/>
    <mergeCell ref="A87:A93"/>
    <mergeCell ref="B38:B40"/>
    <mergeCell ref="A35:A37"/>
    <mergeCell ref="A113:J113"/>
    <mergeCell ref="A107:A109"/>
    <mergeCell ref="B73:B75"/>
    <mergeCell ref="A73:A75"/>
    <mergeCell ref="A79:J79"/>
    <mergeCell ref="A84:A86"/>
    <mergeCell ref="A110:A112"/>
    <mergeCell ref="B110:B112"/>
    <mergeCell ref="B127:B129"/>
    <mergeCell ref="A114:A116"/>
    <mergeCell ref="B114:B116"/>
    <mergeCell ref="A117:A119"/>
    <mergeCell ref="B117:B119"/>
    <mergeCell ref="A76:A78"/>
    <mergeCell ref="B76:B78"/>
    <mergeCell ref="B84:B86"/>
    <mergeCell ref="B107:B109"/>
    <mergeCell ref="B104:B106"/>
    <mergeCell ref="A104:A106"/>
    <mergeCell ref="A100:J100"/>
    <mergeCell ref="A101:A103"/>
    <mergeCell ref="B101:B103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Zavackayamv</cp:lastModifiedBy>
  <cp:lastPrinted>2018-08-20T08:44:37Z</cp:lastPrinted>
  <dcterms:created xsi:type="dcterms:W3CDTF">2013-08-06T09:39:13Z</dcterms:created>
  <dcterms:modified xsi:type="dcterms:W3CDTF">2018-10-18T09:53:56Z</dcterms:modified>
  <cp:category/>
  <cp:version/>
  <cp:contentType/>
  <cp:contentStatus/>
</cp:coreProperties>
</file>