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'Лист1'!$58:$59</definedName>
    <definedName name="_xlnm.Print_Area" localSheetId="0">'Лист1'!$A$1:$L$400</definedName>
  </definedNames>
  <calcPr fullCalcOnLoad="1"/>
</workbook>
</file>

<file path=xl/comments1.xml><?xml version="1.0" encoding="utf-8"?>
<comments xmlns="http://schemas.openxmlformats.org/spreadsheetml/2006/main">
  <authors>
    <author>Попова </author>
  </authors>
  <commentList>
    <comment ref="B374" authorId="0">
      <text>
        <r>
          <rPr>
            <b/>
            <sz val="8"/>
            <rFont val="Tahoma"/>
            <family val="0"/>
          </rPr>
          <t>Попова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Попова </author>
  </authors>
  <commentList>
    <comment ref="B300" authorId="0">
      <text>
        <r>
          <rPr>
            <b/>
            <sz val="8"/>
            <rFont val="Tahoma"/>
            <family val="0"/>
          </rPr>
          <t>Попова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<sst xmlns="http://schemas.openxmlformats.org/spreadsheetml/2006/main" count="1087" uniqueCount="497">
  <si>
    <t>Наименование работ</t>
  </si>
  <si>
    <t>Сумма, тыс.рублей</t>
  </si>
  <si>
    <t>Восстановление наружного освещения</t>
  </si>
  <si>
    <t>Школа №1</t>
  </si>
  <si>
    <t>Капитальный ремонт</t>
  </si>
  <si>
    <t>Ремонт наружного освещения</t>
  </si>
  <si>
    <t>Восстановление асфальтового покрытия</t>
  </si>
  <si>
    <t>Школа №2</t>
  </si>
  <si>
    <t>Ремонт мягкой кровли</t>
  </si>
  <si>
    <t>Школа №11</t>
  </si>
  <si>
    <t>Замена труб по подвалу</t>
  </si>
  <si>
    <t>Школа №13</t>
  </si>
  <si>
    <t>Школа №16</t>
  </si>
  <si>
    <t>Ремонт водопровода.</t>
  </si>
  <si>
    <t>Ремонт фасада</t>
  </si>
  <si>
    <t>Школа №19</t>
  </si>
  <si>
    <t>Ремонт фасада бассейна</t>
  </si>
  <si>
    <t>Школа №20</t>
  </si>
  <si>
    <t>Школа №23</t>
  </si>
  <si>
    <t>Аварийные работы</t>
  </si>
  <si>
    <t>Открытая (сменная) общеобразовательная школа</t>
  </si>
  <si>
    <t>Ремонт кровли</t>
  </si>
  <si>
    <t>Детский дом</t>
  </si>
  <si>
    <t>Замена водопроводных труб по подвалу</t>
  </si>
  <si>
    <t>ЦЮНТТ</t>
  </si>
  <si>
    <t>Задолженность прошлых лет</t>
  </si>
  <si>
    <t>Всего по Управлению образования</t>
  </si>
  <si>
    <t>Школа № 4</t>
  </si>
  <si>
    <t>Ремонт стен мастерских</t>
  </si>
  <si>
    <t>Ремонт мягкой кровли мастерских</t>
  </si>
  <si>
    <t>Замена стояков холодного водоснабжения</t>
  </si>
  <si>
    <t>Горбольница №1</t>
  </si>
  <si>
    <t>Ремонт системы отопления ПАО</t>
  </si>
  <si>
    <t>Обследование перекрытий главного корпуса</t>
  </si>
  <si>
    <t>Замена магистрали холодного водоснабжения ПАО</t>
  </si>
  <si>
    <t xml:space="preserve">Ремонт системы отопления </t>
  </si>
  <si>
    <t>Горбольница №2</t>
  </si>
  <si>
    <t>Восстановление вентиляции поликлиники</t>
  </si>
  <si>
    <t>Восстановление вентиляции R-отделения</t>
  </si>
  <si>
    <t>Замена стояков холодной воды, труб канализации</t>
  </si>
  <si>
    <t>Детская больница</t>
  </si>
  <si>
    <t>Замена труб холодного и горячего водоснабжения,канализации</t>
  </si>
  <si>
    <t>Замена стеклоблоков лестничных пролетов</t>
  </si>
  <si>
    <t>Психоневрологический диспансер</t>
  </si>
  <si>
    <t>Ремонт теплоцентра</t>
  </si>
  <si>
    <t>Косметический ремонт</t>
  </si>
  <si>
    <t>Стоматологическая поликлиника</t>
  </si>
  <si>
    <t>Завершение работ по устройству приточно-вытяжной вентиляции</t>
  </si>
  <si>
    <t>Противотуберкулезный диспансер</t>
  </si>
  <si>
    <t>Сантехнические работы</t>
  </si>
  <si>
    <t>Электромонтажные работы</t>
  </si>
  <si>
    <t>Детская стоматологическая поликлиника</t>
  </si>
  <si>
    <t>Вентиляционные работы</t>
  </si>
  <si>
    <t>Дом ребенка</t>
  </si>
  <si>
    <t>Ремонт эвакуационных лестниц</t>
  </si>
  <si>
    <t>СМАПУЗ "Ягры"</t>
  </si>
  <si>
    <t>Замена труб подводки холодной воды</t>
  </si>
  <si>
    <t>Медицинское училище</t>
  </si>
  <si>
    <t>Замена труб холодного водоснабжения</t>
  </si>
  <si>
    <t>Всего по Управлению здравоохранения</t>
  </si>
  <si>
    <t>Всего по виду расходов 259</t>
  </si>
  <si>
    <t xml:space="preserve">Родильный дом </t>
  </si>
  <si>
    <t>Школа-интернат для детей-сирот</t>
  </si>
  <si>
    <t>Наименование    отраслей и объектов</t>
  </si>
  <si>
    <t>Управление образования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</si>
  <si>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</si>
  <si>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</si>
  <si>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</si>
  <si>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</si>
  <si>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</si>
  <si>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</si>
  <si>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</si>
  <si>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</si>
  <si>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</si>
  <si>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</si>
  <si>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</si>
  <si>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</si>
  <si>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</si>
  <si>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</si>
  <si>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</si>
  <si>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</si>
  <si>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</si>
  <si>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</si>
  <si>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</si>
  <si>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</si>
  <si>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1.2</t>
  </si>
  <si>
    <t>Управление здравоохранения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</si>
  <si>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</si>
  <si>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</si>
  <si>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</si>
  <si>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</si>
  <si>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</si>
  <si>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</si>
  <si>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</si>
  <si>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</si>
  <si>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</si>
  <si>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</si>
  <si>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</si>
  <si>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Перечень объектов капитального ремонта.</t>
  </si>
  <si>
    <t>N  п/п</t>
  </si>
  <si>
    <t>1.1.11</t>
  </si>
  <si>
    <t>Всего (р1402,400,260)</t>
  </si>
  <si>
    <t>Всего (р1402,400,262)</t>
  </si>
  <si>
    <t>Всего (р1402,400,263)</t>
  </si>
  <si>
    <t>Всего (р1402,400,264)</t>
  </si>
  <si>
    <t>Всего (р1402,400,265)</t>
  </si>
  <si>
    <t xml:space="preserve">Всего (р.1701,430,300)    </t>
  </si>
  <si>
    <t xml:space="preserve">Всего (р.1701,430,295)    </t>
  </si>
  <si>
    <t xml:space="preserve">Всего (р.1701,430,301)    </t>
  </si>
  <si>
    <t xml:space="preserve">Всего (р.1701,430,304)    </t>
  </si>
  <si>
    <t xml:space="preserve">Всего (р.1701,430,317)    </t>
  </si>
  <si>
    <t>Всего (р.1404,403,268)</t>
  </si>
  <si>
    <t>1</t>
  </si>
  <si>
    <t>Комитет ЖКХ,Т иС -всего</t>
  </si>
  <si>
    <t xml:space="preserve">МП Рассвет </t>
  </si>
  <si>
    <t>Замена систем холодного водопровода</t>
  </si>
  <si>
    <t>МУП ЖКК</t>
  </si>
  <si>
    <t>СМУП ЖКХ</t>
  </si>
  <si>
    <t>ПЖКО Ягры</t>
  </si>
  <si>
    <t>Оплата кредиторской задолженности по программе "Обеспечение населения г. Северодвинска питьевой водой" (р.1201,310,397)</t>
  </si>
  <si>
    <t>Мероприятия по диагностике и модернизации лифтового хозяйства (р.1201,310,397)</t>
  </si>
  <si>
    <t>Капитальный ремонт жилого фонда (р.1201,310,397)</t>
  </si>
  <si>
    <t>МП Рассвет -всего</t>
  </si>
  <si>
    <t>Лесная,30</t>
  </si>
  <si>
    <t>замена свай</t>
  </si>
  <si>
    <t>Профсоюзная,18</t>
  </si>
  <si>
    <t>замена свай, 1 подъезд</t>
  </si>
  <si>
    <t xml:space="preserve">Полярная,9а </t>
  </si>
  <si>
    <t>Лесная,33 (1/2 дома)</t>
  </si>
  <si>
    <t>капитальный ремонт (переходящий)</t>
  </si>
  <si>
    <t>Жилфонд</t>
  </si>
  <si>
    <t>ремонт квартир после умерших, пожаров</t>
  </si>
  <si>
    <t>Железнодорожная,6</t>
  </si>
  <si>
    <t>замена свай, 2 подъезд</t>
  </si>
  <si>
    <t>Лесная,10</t>
  </si>
  <si>
    <t xml:space="preserve">Оплата кредиторской задолженности </t>
  </si>
  <si>
    <t>МП ЖКТ-всего</t>
  </si>
  <si>
    <t>Лебедева,10</t>
  </si>
  <si>
    <t>замена оборудования и кабины лифта</t>
  </si>
  <si>
    <t xml:space="preserve">МУП ЖКК-всего </t>
  </si>
  <si>
    <t xml:space="preserve">Советская,44 </t>
  </si>
  <si>
    <t xml:space="preserve">Советская,46 </t>
  </si>
  <si>
    <t>капитальный ремонт</t>
  </si>
  <si>
    <t>Ленина,17</t>
  </si>
  <si>
    <t>ремонт фасадов</t>
  </si>
  <si>
    <t>СМУП ЖКХ-всего</t>
  </si>
  <si>
    <t>Комсомольская,26</t>
  </si>
  <si>
    <t>Индустриальная,62</t>
  </si>
  <si>
    <t>Индустриальная,51</t>
  </si>
  <si>
    <t>капитальный ремонт первого этажа (переходящий)</t>
  </si>
  <si>
    <t>Ленина,10</t>
  </si>
  <si>
    <t>ремонт фасада</t>
  </si>
  <si>
    <t>Советская,50/12</t>
  </si>
  <si>
    <t>ПЖКО Ягры-всего</t>
  </si>
  <si>
    <t>Логинова,2</t>
  </si>
  <si>
    <t>Нахимова,1</t>
  </si>
  <si>
    <t>Нахимова,5</t>
  </si>
  <si>
    <t>Нахимова,6</t>
  </si>
  <si>
    <t>Нахимова,4а</t>
  </si>
  <si>
    <t>выборочный капитальный ремонт после пожара</t>
  </si>
  <si>
    <t>Мира,2</t>
  </si>
  <si>
    <t>ПЖРЭП-всего</t>
  </si>
  <si>
    <t>Орджоникидзе,2а, корпус1</t>
  </si>
  <si>
    <t>Первомайская,59</t>
  </si>
  <si>
    <t>замена холодного водопровода</t>
  </si>
  <si>
    <t>Капитальный ремонт инженерных коммуникаций</t>
  </si>
  <si>
    <t>1.3</t>
  </si>
  <si>
    <t>1.3.1</t>
  </si>
  <si>
    <t>ремонт фасада (переходящий)</t>
  </si>
  <si>
    <t>Всего по бюджетным учреждениям</t>
  </si>
  <si>
    <t>Ремонт кровли пищеблока, инфекционного отделения</t>
  </si>
  <si>
    <t>МПЖРЭП</t>
  </si>
  <si>
    <t>Квартал 48</t>
  </si>
  <si>
    <t>Ремонт уличного освещения - всего</t>
  </si>
  <si>
    <t>Архангельское шоссе</t>
  </si>
  <si>
    <t>Восстановление опор по городу</t>
  </si>
  <si>
    <t>Выполнение аварийных и непредвиденных работ по ремонту дорог</t>
  </si>
  <si>
    <t>Восстановительный ремонт дорог в весенний период</t>
  </si>
  <si>
    <t>Ремонт уличных тротуаров</t>
  </si>
  <si>
    <t>Оплата кредиторской задолженности</t>
  </si>
  <si>
    <t>в том числе:</t>
  </si>
  <si>
    <t>1. МП Горвик - всего</t>
  </si>
  <si>
    <t>капитальный ремонт тепловых сетей</t>
  </si>
  <si>
    <t>Торцева,19</t>
  </si>
  <si>
    <t>капитальный ремонт водопроводных сетей</t>
  </si>
  <si>
    <t>2. Наружные коммуникации в пос. Белое озеро</t>
  </si>
  <si>
    <t>капитальный ремонт инженерных коммуникаций</t>
  </si>
  <si>
    <t>Нахимова,4</t>
  </si>
  <si>
    <t xml:space="preserve">               Приложение   № 10</t>
  </si>
  <si>
    <t>ул.Портовая (без устройства ЛК и НО)</t>
  </si>
  <si>
    <t>ул. Первомайская (от пр. Труда до ул. Орджоникидзе)</t>
  </si>
  <si>
    <t>пр. Труда (от ул. Ломоносова в сторону путепроводной развязки)</t>
  </si>
  <si>
    <t>пл. Корабелов</t>
  </si>
  <si>
    <t>пр. Морской (от ул. Юбилейной до ул. Чеснокова)</t>
  </si>
  <si>
    <t>Средства, направленные из муниципального бюджета на выполнение капитального ремонта  по объектам</t>
  </si>
  <si>
    <t xml:space="preserve">Прочие структуры коммунального хозяйства (р.1203,312,397) </t>
  </si>
  <si>
    <t>Школа № 5</t>
  </si>
  <si>
    <t>ДОУ № 15</t>
  </si>
  <si>
    <t>ДОУ № 113</t>
  </si>
  <si>
    <t>ДОУ № 36</t>
  </si>
  <si>
    <t xml:space="preserve">Ремонт крылец центр.входа и пищеблока </t>
  </si>
  <si>
    <t>Школа № 3</t>
  </si>
  <si>
    <t>Частичный ремонт фасада и кровли</t>
  </si>
  <si>
    <t>ДОУ № 27</t>
  </si>
  <si>
    <t>ДОУ № 1</t>
  </si>
  <si>
    <t>Ремонт отмостки</t>
  </si>
  <si>
    <t>ДОУ № 20</t>
  </si>
  <si>
    <t>Обрезка деревьев</t>
  </si>
  <si>
    <t>ДОУ № 22</t>
  </si>
  <si>
    <t>Ремонт цоколя и крылец</t>
  </si>
  <si>
    <t>Ремонт тепловых коммуникаций</t>
  </si>
  <si>
    <t>Управление культуры</t>
  </si>
  <si>
    <t>ДМШ № 34</t>
  </si>
  <si>
    <t>Ремонт здания</t>
  </si>
  <si>
    <t>Музей</t>
  </si>
  <si>
    <t>Ремонт системы холодного водоснабжения</t>
  </si>
  <si>
    <t>Всего (р.1402,400,264)</t>
  </si>
  <si>
    <t>Всего (1501,410,283)</t>
  </si>
  <si>
    <t>Всего по Управлению культуры</t>
  </si>
  <si>
    <t>1.1.21</t>
  </si>
  <si>
    <t>1.1.22</t>
  </si>
  <si>
    <t>1.1.23</t>
  </si>
  <si>
    <t>1.1.24</t>
  </si>
  <si>
    <t>1.4</t>
  </si>
  <si>
    <t>1.4.1</t>
  </si>
  <si>
    <t>Школа № 10</t>
  </si>
  <si>
    <t>Ремонт цоколя</t>
  </si>
  <si>
    <t>ДОУ № 12</t>
  </si>
  <si>
    <t>ДОУ № 30</t>
  </si>
  <si>
    <t>Школа № 6</t>
  </si>
  <si>
    <t>1.2.12</t>
  </si>
  <si>
    <t>1.1.25</t>
  </si>
  <si>
    <t>1.1.26</t>
  </si>
  <si>
    <t>1.1.27</t>
  </si>
  <si>
    <t>1.1.28</t>
  </si>
  <si>
    <t>1.1.30</t>
  </si>
  <si>
    <t>1.1.31</t>
  </si>
  <si>
    <t>1.1.34</t>
  </si>
  <si>
    <t>Школа № 30</t>
  </si>
  <si>
    <t>1.1.32</t>
  </si>
  <si>
    <t>1.1.35</t>
  </si>
  <si>
    <t>Советская,9а</t>
  </si>
  <si>
    <t>ремонт кровли</t>
  </si>
  <si>
    <t>замена наружных теплосетей (переходящий)</t>
  </si>
  <si>
    <t>Юбилейная,39</t>
  </si>
  <si>
    <t>ремонт системы наружного водоснабжения</t>
  </si>
  <si>
    <t>Ленина,6</t>
  </si>
  <si>
    <t>Первомайская,21/1"б"</t>
  </si>
  <si>
    <t>ремонт системы теплоснабжения</t>
  </si>
  <si>
    <t>замена стояков холодной воды</t>
  </si>
  <si>
    <t>Ленина,16/1</t>
  </si>
  <si>
    <t>частичный ремонт кровли</t>
  </si>
  <si>
    <t>Чехова,6</t>
  </si>
  <si>
    <t>Чехова,12</t>
  </si>
  <si>
    <t>Трудовой,7</t>
  </si>
  <si>
    <t>изоляция систем ГВС и ХВС</t>
  </si>
  <si>
    <t>Морской,8</t>
  </si>
  <si>
    <t>замена розлива и стояков холодного водоснабжения</t>
  </si>
  <si>
    <t>Ломоносова,104</t>
  </si>
  <si>
    <t>Трухинова,14</t>
  </si>
  <si>
    <t>усиление торцевых стен, балконов и прогонов в подвале (переходящий)</t>
  </si>
  <si>
    <t>Машиностроителей,24</t>
  </si>
  <si>
    <t>Капитальный ремонт бассейна ФОК</t>
  </si>
  <si>
    <t>Восстановление освещения лыжной трассы у стадиона "Беломорец"</t>
  </si>
  <si>
    <t>Ремонт асфальтового покрытия в кв. 98</t>
  </si>
  <si>
    <t>Ремонт асфальтового покрытия в кв. 99</t>
  </si>
  <si>
    <t>Устройство цветников</t>
  </si>
  <si>
    <t>Ремонт теплицы</t>
  </si>
  <si>
    <t>2. Перечень работ по  капитальному ремонту жилищного фонда,</t>
  </si>
  <si>
    <t>выполняемых за  счет платы за наем в 2004 году</t>
  </si>
  <si>
    <t xml:space="preserve">№ </t>
  </si>
  <si>
    <t>Наименование   объектов</t>
  </si>
  <si>
    <t>Вид работ</t>
  </si>
  <si>
    <t>Сумма,         тыс.руб.</t>
  </si>
  <si>
    <t>2.1</t>
  </si>
  <si>
    <t>МП Рассвет:</t>
  </si>
  <si>
    <t>Ломоносова,14</t>
  </si>
  <si>
    <t>2.2</t>
  </si>
  <si>
    <t>МП ЖКТ:</t>
  </si>
  <si>
    <t>Седова,17</t>
  </si>
  <si>
    <t>2.3</t>
  </si>
  <si>
    <t>МУП ЖКК:</t>
  </si>
  <si>
    <t>Ленина,11</t>
  </si>
  <si>
    <t>2.4</t>
  </si>
  <si>
    <t>СМУП ЖКХ:</t>
  </si>
  <si>
    <t>Чехова,3</t>
  </si>
  <si>
    <t>Морской,12</t>
  </si>
  <si>
    <t>2.5</t>
  </si>
  <si>
    <t>ПЖКО Ягры:</t>
  </si>
  <si>
    <t>2.6</t>
  </si>
  <si>
    <t>ПЖРЭП</t>
  </si>
  <si>
    <t>Орджоникидзе,14</t>
  </si>
  <si>
    <t>ВСЕГО:</t>
  </si>
  <si>
    <t>Школа № 22</t>
  </si>
  <si>
    <t>1.4.2</t>
  </si>
  <si>
    <t>1.4.3</t>
  </si>
  <si>
    <t>Капитальный ремонт объектов наружного освещения кварталов № 5,6,7,9,10,11,14,15,22,23, 24, 31,32,66</t>
  </si>
  <si>
    <t>Капитальный ремонт путепровода пр.Труда, в том числе погашение кредиторской задолженности- 3700 тыс.рублей</t>
  </si>
  <si>
    <t>Проектные работы по капремонту дорог</t>
  </si>
  <si>
    <t>ремонт системы холодного водоснабжения</t>
  </si>
  <si>
    <t>1.4.4</t>
  </si>
  <si>
    <t>1.4.5</t>
  </si>
  <si>
    <t>1.4.5.1</t>
  </si>
  <si>
    <t>1.4.5.2</t>
  </si>
  <si>
    <t>1.4.6</t>
  </si>
  <si>
    <t>1.1.33</t>
  </si>
  <si>
    <t>Ремонт  кровли</t>
  </si>
  <si>
    <t>Кредиторская задолженность по капит.ремонтам (Мира,3а)</t>
  </si>
  <si>
    <t>Школа № 25</t>
  </si>
  <si>
    <t>1.1.36</t>
  </si>
  <si>
    <t>1.1.37</t>
  </si>
  <si>
    <t>К.Маркса,41</t>
  </si>
  <si>
    <t>Коновалова,7</t>
  </si>
  <si>
    <t>МПЖРЭП- всего</t>
  </si>
  <si>
    <t>Беломорский,25</t>
  </si>
  <si>
    <t>Русановский ,6</t>
  </si>
  <si>
    <t>Беломорский,32</t>
  </si>
  <si>
    <t>Железнодорожная,4а</t>
  </si>
  <si>
    <t>Железнодорожная,35</t>
  </si>
  <si>
    <t>Лесная,9а</t>
  </si>
  <si>
    <t>Индустриальная,7</t>
  </si>
  <si>
    <t>Полярная,29а</t>
  </si>
  <si>
    <t>Ломоносова,28б</t>
  </si>
  <si>
    <t>Профсоюзная,2/29</t>
  </si>
  <si>
    <t>Ломоносова,48</t>
  </si>
  <si>
    <t>Комсомольская,32</t>
  </si>
  <si>
    <t>Ломоносова,48а</t>
  </si>
  <si>
    <t>Ломоносова,52а</t>
  </si>
  <si>
    <t>Ленина,35/37</t>
  </si>
  <si>
    <t>Южная,18а</t>
  </si>
  <si>
    <t>Ленина,1</t>
  </si>
  <si>
    <t>Труда,40</t>
  </si>
  <si>
    <t>Труда,5</t>
  </si>
  <si>
    <t>Ленина,19</t>
  </si>
  <si>
    <t>Первомайская,17</t>
  </si>
  <si>
    <t>Торцева,8/13</t>
  </si>
  <si>
    <t>Ломоносова,69а</t>
  </si>
  <si>
    <t>Воронина,13а</t>
  </si>
  <si>
    <t>Ломоносова,71</t>
  </si>
  <si>
    <t>Трухинова,1</t>
  </si>
  <si>
    <t>К.Маркса,7а</t>
  </si>
  <si>
    <t>Корабельная,5</t>
  </si>
  <si>
    <t>Дзержинского,2</t>
  </si>
  <si>
    <t>Северная,4</t>
  </si>
  <si>
    <t>Приморский,26</t>
  </si>
  <si>
    <t>Корабельная,3</t>
  </si>
  <si>
    <t>к решению Муниципального Совета от 29.12.2003 № 168</t>
  </si>
  <si>
    <t>Cедова,15</t>
  </si>
  <si>
    <t>Капитальный ремонт объектов наружного освещения парков, скверов в кв. 37,61, Ломоносова,102а, драмтеатра,кварталов 205,208,209,218</t>
  </si>
  <si>
    <t>Целевая программа:"Обеспечение населения г.Северодвинска питьевой водой"</t>
  </si>
  <si>
    <t>Программа "Обеспечение населения г.Северодвинска питьевой водой" текущий год(р.1201,310,397)</t>
  </si>
  <si>
    <t>ремонт  кровли</t>
  </si>
  <si>
    <t>Ямочный ремонт дорог, в том числе Краснофлотская,4,6, Логинова,9,Северная,12</t>
  </si>
  <si>
    <t>ДОУ № 13</t>
  </si>
  <si>
    <t>ДОУ № 83</t>
  </si>
  <si>
    <t>Ремонт стен хозблока</t>
  </si>
  <si>
    <t>Ремонт кровли хозблока</t>
  </si>
  <si>
    <t>Ремонт кровли старшего общежития</t>
  </si>
  <si>
    <t>Ремонт фасада школы</t>
  </si>
  <si>
    <t>КЮМ</t>
  </si>
  <si>
    <t>Ремонт спортивного зала</t>
  </si>
  <si>
    <t>ДОУ (резерв)</t>
  </si>
  <si>
    <t>Школа №№ 22,23</t>
  </si>
  <si>
    <t>Школа №№ 19,20,29,28</t>
  </si>
  <si>
    <t>ДОУ № 48</t>
  </si>
  <si>
    <t>ДОУ №№1,11,13,59,80</t>
  </si>
  <si>
    <t>1.1.29</t>
  </si>
  <si>
    <t>Школы (резерв заказчика)</t>
  </si>
  <si>
    <t>1.1.38</t>
  </si>
  <si>
    <t>1.1.39</t>
  </si>
  <si>
    <t>1.1.40</t>
  </si>
  <si>
    <t>Изменения март 2004</t>
  </si>
  <si>
    <t>пр. Победы (от ул. Кирилкина до моста №3)</t>
  </si>
  <si>
    <t>ДОУ</t>
  </si>
  <si>
    <t>Школы</t>
  </si>
  <si>
    <t xml:space="preserve">Школа-интернат </t>
  </si>
  <si>
    <t>в том числе</t>
  </si>
  <si>
    <t>Разработка проектно-сметной документации на реконструкцию моста через р. М.Кудьма</t>
  </si>
  <si>
    <t>Ремонт дорог, мостов, путепровода, уличных тротуаров и объектов озеленения - всего</t>
  </si>
  <si>
    <t>Железнодорожная, 9</t>
  </si>
  <si>
    <t>Восстановление благоустройства после капремонтов прошлых годов</t>
  </si>
  <si>
    <t>Школа № 24 (здание ДОУ № 43)</t>
  </si>
  <si>
    <t xml:space="preserve">Торцева,2а; Гагарина,16; Воронина,16-18; К.Маркса, 11-15; c К.Маркса, 39а по Орджоникизде, 26; Орджоникидзе, 20-24;  К.Маркса, 67, 69; Трухинова, 20, 14;  Б.Строителей, 31; Морской,42; Победы,45; Юбилейная, 17а, 15а. </t>
  </si>
  <si>
    <t>Ремонт наружной стены гараж СОШ № 3</t>
  </si>
  <si>
    <t>Ремонт цоколя и крылец К. Маркса, 24а</t>
  </si>
  <si>
    <t>Ремонт мягкой кровли гараж СОШ № 3</t>
  </si>
  <si>
    <t>Ремонт мягкой кровли Воронина, 27а</t>
  </si>
  <si>
    <t>Мира, 2</t>
  </si>
  <si>
    <t>Ломоносова,41а</t>
  </si>
  <si>
    <t>Всего (0106,027,029)</t>
  </si>
  <si>
    <t>1.1.41</t>
  </si>
  <si>
    <t>Гайдара,5</t>
  </si>
  <si>
    <t xml:space="preserve">Погашение кредиторской задолженности </t>
  </si>
  <si>
    <t>Ломоносова,26</t>
  </si>
  <si>
    <t>Архангельское шоссе,61,62, Первомайская,52,56,58, 62,64,66,68, Портовая,5,7,9,13,15,17</t>
  </si>
  <si>
    <t xml:space="preserve">Труда,12; Коновалова,6,20; Орджоникидзе,18,28;     б-р Строителей,27а; Морской, 11,12; Индустриальная, 66; Бутомы,7. </t>
  </si>
  <si>
    <t xml:space="preserve">Всего </t>
  </si>
  <si>
    <t>Воронина,2</t>
  </si>
  <si>
    <t>Индустриальная,50</t>
  </si>
  <si>
    <t>капитальный ремонт кровли</t>
  </si>
  <si>
    <t xml:space="preserve">Погашение кредиторской задолженности за 2003год по ремонту мягкой кровли </t>
  </si>
  <si>
    <t xml:space="preserve">Погашение кредиторской задолженности за 2003год по ремонту мягкой кровли (внебюджет) </t>
  </si>
  <si>
    <t>1.2.13</t>
  </si>
  <si>
    <t xml:space="preserve">Всего (р.1701,820,300)    </t>
  </si>
  <si>
    <t>Ремонт здания за счет средств, поступающих от предпринимательской и иной приносящей доход деятельности</t>
  </si>
  <si>
    <t>МП ЖКТ</t>
  </si>
  <si>
    <t>Проведение изыскательских работ по автомобильным дорогам</t>
  </si>
  <si>
    <t>Капитальный ремонт объектов внешнего благоустройства (р.1202)</t>
  </si>
  <si>
    <t>Устройство 7 ИДН на автомобильных дорогах по программе "Мы и дорога"</t>
  </si>
  <si>
    <t>(в редакции от 26.08.2004)</t>
  </si>
  <si>
    <t>Приморский,12</t>
  </si>
  <si>
    <t>диагностика лифтов</t>
  </si>
  <si>
    <t>Капитальный ремонт электросетей внутриквартального освещения кварталов 205,208,209,218</t>
  </si>
  <si>
    <t>Капитальный ремонт объектов наружного освещения по ул. Ломоносова, ул.Комсомольской</t>
  </si>
  <si>
    <t>Капитальный ремонт объектов наружного освещения п.Водогон</t>
  </si>
  <si>
    <t>Профсоюзная,12а</t>
  </si>
  <si>
    <t>замена элементов цокольного этажа</t>
  </si>
  <si>
    <t>усиление свай</t>
  </si>
  <si>
    <t>устройство отмостки</t>
  </si>
  <si>
    <t>Ломоносова,11,25</t>
  </si>
  <si>
    <t>Ленина,43а</t>
  </si>
  <si>
    <t>Морской,29</t>
  </si>
  <si>
    <t>Труда,23</t>
  </si>
  <si>
    <t>замена рулонной кровли</t>
  </si>
  <si>
    <t>частичная замена шиферной кровли</t>
  </si>
  <si>
    <t>Трухинова,8</t>
  </si>
  <si>
    <t>Трудовой,5</t>
  </si>
  <si>
    <t>ремонт лифтов</t>
  </si>
  <si>
    <t>Мира,14</t>
  </si>
  <si>
    <t>замена розлива системы отопления</t>
  </si>
  <si>
    <t>Морской,34</t>
  </si>
  <si>
    <t>Первомайская,58</t>
  </si>
  <si>
    <t>замена крылец</t>
  </si>
  <si>
    <t>Ремонт асфальто-бетонного покрытия Архангельского шоссе</t>
  </si>
  <si>
    <t>ДОУ № 29</t>
  </si>
  <si>
    <t>обрезка деревьев</t>
  </si>
  <si>
    <t>Ремонт дворового проезда в районе жилых домов по ул. Торцева,69; К-Маркса,2.</t>
  </si>
  <si>
    <t>Лесная, 19б</t>
  </si>
  <si>
    <t>Асфальтирование тротуара по ул. Краснофлотской</t>
  </si>
  <si>
    <t>Ремонт тепловых пунктов жилых домов</t>
  </si>
  <si>
    <t>Капитальный ремонт объектов наружного освещения парков, скверов в кв. 37,61, Ломоносова,102,102а</t>
  </si>
  <si>
    <t>1.4.6.1</t>
  </si>
  <si>
    <t>1.4.7</t>
  </si>
  <si>
    <t>Ремонт прочих объектов внешнего благоустройства</t>
  </si>
  <si>
    <t>1.4.6.2</t>
  </si>
  <si>
    <t>1.4.6.3</t>
  </si>
  <si>
    <t>Ломоносова, 104</t>
  </si>
  <si>
    <t>Утверждено          (тыс. руб.)</t>
  </si>
  <si>
    <t>изменения март</t>
  </si>
  <si>
    <t>изм.09</t>
  </si>
  <si>
    <t>измен. октябрь</t>
  </si>
  <si>
    <t>Исполнено (тыс. руб.)</t>
  </si>
  <si>
    <t>Замена труб холодного и горячего водоснабжения, канализации</t>
  </si>
  <si>
    <t>Замена стеклоблоков лестнич.пролетов</t>
  </si>
  <si>
    <t>Ремонт системы холодного Водоснабжения</t>
  </si>
  <si>
    <t>капитальный ремонт группо-вых сетей электроснабжения</t>
  </si>
  <si>
    <t>Республиканская,38-1</t>
  </si>
  <si>
    <t>2. Перечень работ по  капитальному ремонту жилищного фонда, выполняемых за  счет платы за наем в 2004 году</t>
  </si>
  <si>
    <t>Перекресток ул. М. Труда-Первомайская</t>
  </si>
  <si>
    <t>Капитальный ремонт объектов наружного освещения кварталов № 5,6,7,9,10,11,14,15, 23,24,31,32,66,69,77</t>
  </si>
  <si>
    <t>Первомайская,21/1-б</t>
  </si>
  <si>
    <t>Машиностроителей, 24</t>
  </si>
  <si>
    <t xml:space="preserve">Торцева,2а; Гагарина, 16; Воронина,16-18; К.Маркса, 11-15; c К.Маркса, 39а по Орджоникизде, 26; Орджоникидзе, 20-24;  К.Маркса, 67, 69; Трухинова, 20, 14;  Б.Строителей, 31; Морской,42; Победы, 45; Юбилейная, 17а,15а. </t>
  </si>
  <si>
    <t>Устройство заездного кармана автодороги по ул.Торцева №№ 73,75</t>
  </si>
  <si>
    <t>Капитальный ремонт инженерных коммуни-каций, в том числе:</t>
  </si>
  <si>
    <t>Устройство цветников, в т.ч.погашение кредит. задолж.149тыс.руб.</t>
  </si>
  <si>
    <t>Обрезка деревьев в т.ч. погашение кредитор. задолж.-17,1тыс.руб.</t>
  </si>
  <si>
    <t>ремонт квартир для расселе-ния из ветхого жилфонда</t>
  </si>
  <si>
    <t>выборочный капит. ремонт</t>
  </si>
  <si>
    <t>Сумма,  (тыс.руб.)</t>
  </si>
  <si>
    <t>ДОУ №№ 1,11, 13, 57, 59, 80</t>
  </si>
  <si>
    <t>Бутомы,2; Приморский,6,40</t>
  </si>
  <si>
    <t>Октябрьская,27</t>
  </si>
  <si>
    <t>замена стояков холодного водопровода</t>
  </si>
  <si>
    <t>CМУП "РАССВЕТ" -всего</t>
  </si>
  <si>
    <t>СМУП ЖКТ-всего</t>
  </si>
  <si>
    <t>Ленина,19/46</t>
  </si>
  <si>
    <t>СМУП"ПЖКО "Ягры"-всего</t>
  </si>
  <si>
    <t>СМУП ЖКТ</t>
  </si>
  <si>
    <t>СМУП"ПЖКО"Ягры"</t>
  </si>
  <si>
    <t xml:space="preserve">СМУП "Рассвет" </t>
  </si>
  <si>
    <t>СМУП "Рассвет" -всего</t>
  </si>
  <si>
    <t>СМУП"ПЖКО"Ягры"-всего</t>
  </si>
  <si>
    <t>Ремонт оборудования пунктов питания (замена счетчиков на 3х тарифные)</t>
  </si>
  <si>
    <t>Ремонт канализационной системы общественного туалета на ул.Плюснина</t>
  </si>
  <si>
    <t>СМУП "Рассвет":</t>
  </si>
  <si>
    <t>Оплачено (тыс. руб.)</t>
  </si>
  <si>
    <t>СМУП"ПЖКО"Ягры":</t>
  </si>
  <si>
    <t>СМУП ЖКТ:</t>
  </si>
  <si>
    <t>Капитальный ремонт путепровода пр. Труда, в т.ч. погашение кредиторской задолженности- 3700 тыс.руб.</t>
  </si>
  <si>
    <t>Архангельское шоссе, 61,62; Первомайская, 52,56, 58,62,64,66,68; Портовая,5,7,9,13, 15,17.</t>
  </si>
  <si>
    <t>Капитальный ремонт объектов наружного освещения пр.Морского от ул. К Маркса до ж/д переезда</t>
  </si>
  <si>
    <t>пр.Труда(от ул. Ломоносова в сторону путепроводной развязки)</t>
  </si>
  <si>
    <t>Исполнение муниципального бюджета 2004 года по капитальному ремонту.</t>
  </si>
  <si>
    <t>"Об утверждении отчета об исполнении муниципального бюджета                           Северодвинска  за 2004 год"</t>
  </si>
  <si>
    <t xml:space="preserve">Всего (р1402,400,259) </t>
  </si>
  <si>
    <t xml:space="preserve">к решению Муниципального Совета от 30.06.2005  № 20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</si>
</sst>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  <font>
      <sz val="12"/>
      <color indexed="53"/>
      <name val="Arial Cyr"/>
      <family val="0"/>
    </font>
    <font>
      <sz val="12"/>
      <name val="Arial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165" fontId="2" fillId="0" borderId="6" xfId="0" applyNumberFormat="1" applyFont="1" applyBorder="1" applyAlignment="1">
      <alignment wrapText="1"/>
    </xf>
    <xf numFmtId="165" fontId="3" fillId="0" borderId="6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6" fontId="4" fillId="0" borderId="0" xfId="21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6" fontId="2" fillId="0" borderId="0" xfId="21" applyNumberFormat="1" applyFont="1" applyBorder="1" applyAlignment="1">
      <alignment vertical="center" wrapText="1"/>
    </xf>
    <xf numFmtId="166" fontId="2" fillId="0" borderId="8" xfId="21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49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wrapText="1"/>
    </xf>
    <xf numFmtId="49" fontId="3" fillId="0" borderId="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64" fontId="2" fillId="0" borderId="1" xfId="21" applyNumberFormat="1" applyFont="1" applyBorder="1" applyAlignment="1">
      <alignment wrapText="1"/>
    </xf>
    <xf numFmtId="0" fontId="8" fillId="0" borderId="0" xfId="0" applyFont="1" applyAlignment="1">
      <alignment/>
    </xf>
    <xf numFmtId="0" fontId="2" fillId="0" borderId="9" xfId="0" applyFont="1" applyBorder="1" applyAlignment="1">
      <alignment horizontal="left" wrapText="1"/>
    </xf>
    <xf numFmtId="49" fontId="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2" fillId="0" borderId="7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164" fontId="3" fillId="0" borderId="1" xfId="21" applyNumberFormat="1" applyFont="1" applyBorder="1" applyAlignment="1">
      <alignment wrapText="1"/>
    </xf>
    <xf numFmtId="166" fontId="3" fillId="0" borderId="0" xfId="21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166" fontId="2" fillId="0" borderId="0" xfId="21" applyNumberFormat="1" applyFont="1" applyBorder="1" applyAlignment="1">
      <alignment wrapText="1"/>
    </xf>
    <xf numFmtId="166" fontId="2" fillId="0" borderId="0" xfId="21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164" fontId="2" fillId="0" borderId="1" xfId="2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6" fontId="3" fillId="0" borderId="0" xfId="21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0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/>
    </xf>
    <xf numFmtId="165" fontId="2" fillId="0" borderId="12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1" xfId="21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165" fontId="2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" fontId="4" fillId="2" borderId="1" xfId="2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3" fillId="2" borderId="1" xfId="21" applyNumberFormat="1" applyFont="1" applyFill="1" applyBorder="1" applyAlignment="1">
      <alignment wrapText="1"/>
    </xf>
    <xf numFmtId="164" fontId="2" fillId="2" borderId="1" xfId="21" applyNumberFormat="1" applyFont="1" applyFill="1" applyBorder="1" applyAlignment="1">
      <alignment wrapText="1"/>
    </xf>
    <xf numFmtId="164" fontId="2" fillId="2" borderId="1" xfId="21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13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165" fontId="1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164" fontId="2" fillId="2" borderId="1" xfId="21" applyNumberFormat="1" applyFont="1" applyFill="1" applyBorder="1" applyAlignment="1">
      <alignment horizontal="right" wrapText="1"/>
    </xf>
    <xf numFmtId="49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7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/>
    </xf>
    <xf numFmtId="0" fontId="2" fillId="0" borderId="2" xfId="0" applyFont="1" applyBorder="1" applyAlignment="1">
      <alignment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166" fontId="4" fillId="0" borderId="1" xfId="21" applyNumberFormat="1" applyFont="1" applyBorder="1" applyAlignment="1">
      <alignment/>
    </xf>
    <xf numFmtId="0" fontId="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/>
    </xf>
    <xf numFmtId="166" fontId="3" fillId="0" borderId="1" xfId="21" applyNumberFormat="1" applyFont="1" applyBorder="1" applyAlignment="1">
      <alignment wrapText="1"/>
    </xf>
    <xf numFmtId="166" fontId="2" fillId="0" borderId="1" xfId="21" applyNumberFormat="1" applyFont="1" applyBorder="1" applyAlignment="1">
      <alignment wrapText="1"/>
    </xf>
    <xf numFmtId="166" fontId="2" fillId="0" borderId="1" xfId="21" applyNumberFormat="1" applyFont="1" applyBorder="1" applyAlignment="1">
      <alignment vertical="top" wrapText="1"/>
    </xf>
    <xf numFmtId="166" fontId="3" fillId="0" borderId="1" xfId="21" applyNumberFormat="1" applyFont="1" applyBorder="1" applyAlignment="1">
      <alignment horizontal="left" wrapText="1"/>
    </xf>
    <xf numFmtId="166" fontId="3" fillId="0" borderId="1" xfId="21" applyNumberFormat="1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0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65" fontId="2" fillId="0" borderId="0" xfId="0" applyNumberFormat="1" applyFont="1" applyBorder="1" applyAlignment="1">
      <alignment/>
    </xf>
    <xf numFmtId="166" fontId="2" fillId="2" borderId="0" xfId="21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166" fontId="2" fillId="0" borderId="0" xfId="21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166" fontId="2" fillId="0" borderId="0" xfId="21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3" fillId="0" borderId="15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9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M1080"/>
  <sheetViews>
    <sheetView tabSelected="1" zoomScale="119" zoomScaleNormal="119" zoomScaleSheetLayoutView="75" workbookViewId="0" topLeftCell="A28">
      <selection activeCell="A52" sqref="A52:L53"/>
    </sheetView>
  </sheetViews>
  <sheetFormatPr defaultColWidth="9.00390625" defaultRowHeight="12.75"/>
  <cols>
    <col min="1" max="1" width="7.625" style="33" customWidth="1"/>
    <col min="2" max="2" width="25.00390625" style="36" customWidth="1"/>
    <col min="3" max="3" width="29.75390625" style="36" customWidth="1"/>
    <col min="4" max="4" width="12.75390625" style="178" customWidth="1"/>
    <col min="5" max="5" width="5.00390625" style="129" hidden="1" customWidth="1"/>
    <col min="6" max="6" width="11.00390625" style="129" hidden="1" customWidth="1"/>
    <col min="7" max="7" width="9.125" style="129" hidden="1" customWidth="1"/>
    <col min="8" max="10" width="0" style="129" hidden="1" customWidth="1"/>
    <col min="11" max="11" width="9.75390625" style="129" hidden="1" customWidth="1"/>
    <col min="12" max="12" width="12.00390625" style="176" customWidth="1"/>
    <col min="13" max="16384" width="9.125" style="128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spans="3:12" ht="15.75">
      <c r="C50" s="200" t="s">
        <v>188</v>
      </c>
      <c r="D50" s="200"/>
      <c r="E50" s="200"/>
      <c r="F50" s="200"/>
      <c r="G50" s="200"/>
      <c r="H50" s="200"/>
      <c r="I50" s="200"/>
      <c r="J50" s="200"/>
      <c r="K50" s="200"/>
      <c r="L50" s="200"/>
    </row>
    <row r="51" spans="1:12" ht="15.75" customHeight="1">
      <c r="A51" s="201" t="s">
        <v>496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</row>
    <row r="52" spans="1:12" ht="15.75" customHeight="1">
      <c r="A52" s="201" t="s">
        <v>494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</row>
    <row r="53" spans="1:12" ht="15.75" customHeight="1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</row>
    <row r="54" spans="3:4" ht="15.75">
      <c r="C54" s="130"/>
      <c r="D54" s="175"/>
    </row>
    <row r="55" spans="1:12" ht="15.75">
      <c r="A55" s="202" t="s">
        <v>493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</row>
    <row r="56" spans="1:12" ht="34.5" customHeight="1">
      <c r="A56" s="187" t="s">
        <v>194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</row>
    <row r="57" spans="1:4" ht="15.75" customHeight="1" hidden="1">
      <c r="A57" s="28"/>
      <c r="B57" s="28"/>
      <c r="C57" s="28"/>
      <c r="D57" s="177"/>
    </row>
    <row r="58" spans="1:12" ht="33" customHeight="1">
      <c r="A58" s="1" t="s">
        <v>99</v>
      </c>
      <c r="B58" s="34" t="s">
        <v>63</v>
      </c>
      <c r="C58" s="149" t="s">
        <v>0</v>
      </c>
      <c r="D58" s="133" t="s">
        <v>447</v>
      </c>
      <c r="E58" s="157" t="s">
        <v>448</v>
      </c>
      <c r="F58" s="158"/>
      <c r="G58" s="158"/>
      <c r="H58" s="158" t="s">
        <v>449</v>
      </c>
      <c r="I58" s="159" t="s">
        <v>450</v>
      </c>
      <c r="J58" s="158"/>
      <c r="K58" s="133" t="s">
        <v>451</v>
      </c>
      <c r="L58" s="148" t="s">
        <v>451</v>
      </c>
    </row>
    <row r="59" spans="1:12" s="104" customFormat="1" ht="11.25" customHeight="1">
      <c r="A59" s="100" t="s">
        <v>112</v>
      </c>
      <c r="B59" s="101">
        <v>2</v>
      </c>
      <c r="C59" s="102">
        <v>3</v>
      </c>
      <c r="D59" s="114">
        <v>4</v>
      </c>
      <c r="E59" s="160"/>
      <c r="F59" s="161"/>
      <c r="G59" s="161"/>
      <c r="H59" s="161"/>
      <c r="I59" s="161"/>
      <c r="J59" s="161"/>
      <c r="K59" s="161"/>
      <c r="L59" s="182">
        <v>5</v>
      </c>
    </row>
    <row r="60" spans="1:12" ht="19.5" customHeight="1">
      <c r="A60" s="39" t="s">
        <v>65</v>
      </c>
      <c r="B60" s="190" t="s">
        <v>64</v>
      </c>
      <c r="C60" s="191"/>
      <c r="D60" s="115"/>
      <c r="E60" s="132"/>
      <c r="F60" s="132"/>
      <c r="G60" s="132"/>
      <c r="H60" s="132"/>
      <c r="I60" s="132"/>
      <c r="J60" s="132"/>
      <c r="K60" s="132"/>
      <c r="L60" s="49"/>
    </row>
    <row r="61" spans="1:12" ht="31.5" customHeight="1">
      <c r="A61" s="2" t="s">
        <v>66</v>
      </c>
      <c r="B61" s="3" t="s">
        <v>470</v>
      </c>
      <c r="C61" s="3" t="s">
        <v>2</v>
      </c>
      <c r="D61" s="116">
        <f>200+26+40+30+I61+K61</f>
        <v>536</v>
      </c>
      <c r="E61" s="132"/>
      <c r="F61" s="132"/>
      <c r="G61" s="132"/>
      <c r="H61" s="132"/>
      <c r="I61" s="162">
        <v>312</v>
      </c>
      <c r="J61" s="132"/>
      <c r="K61" s="132">
        <v>-72</v>
      </c>
      <c r="L61" s="49">
        <v>488.5</v>
      </c>
    </row>
    <row r="62" spans="1:12" ht="15.75">
      <c r="A62" s="2" t="s">
        <v>67</v>
      </c>
      <c r="B62" s="3" t="s">
        <v>204</v>
      </c>
      <c r="C62" s="3" t="s">
        <v>205</v>
      </c>
      <c r="D62" s="116">
        <f>50+I62</f>
        <v>46.6</v>
      </c>
      <c r="E62" s="132"/>
      <c r="F62" s="132"/>
      <c r="G62" s="132"/>
      <c r="H62" s="132"/>
      <c r="I62" s="132">
        <v>-3.4</v>
      </c>
      <c r="J62" s="132"/>
      <c r="K62" s="132"/>
      <c r="L62" s="49">
        <v>46.5</v>
      </c>
    </row>
    <row r="63" spans="1:12" ht="15.75">
      <c r="A63" s="2" t="s">
        <v>68</v>
      </c>
      <c r="B63" s="3" t="s">
        <v>227</v>
      </c>
      <c r="C63" s="3" t="s">
        <v>21</v>
      </c>
      <c r="D63" s="116">
        <f>200+I63</f>
        <v>141.5</v>
      </c>
      <c r="E63" s="132"/>
      <c r="F63" s="132"/>
      <c r="G63" s="132"/>
      <c r="H63" s="132"/>
      <c r="I63" s="132">
        <v>-58.5</v>
      </c>
      <c r="J63" s="132"/>
      <c r="K63" s="132"/>
      <c r="L63" s="49">
        <v>141.5</v>
      </c>
    </row>
    <row r="64" spans="1:12" ht="15.75">
      <c r="A64" s="2" t="s">
        <v>69</v>
      </c>
      <c r="B64" s="3" t="s">
        <v>197</v>
      </c>
      <c r="C64" s="3" t="s">
        <v>21</v>
      </c>
      <c r="D64" s="116">
        <v>100</v>
      </c>
      <c r="E64" s="132"/>
      <c r="F64" s="132"/>
      <c r="G64" s="132"/>
      <c r="H64" s="132"/>
      <c r="I64" s="132"/>
      <c r="J64" s="132"/>
      <c r="K64" s="132"/>
      <c r="L64" s="49">
        <v>100</v>
      </c>
    </row>
    <row r="65" spans="1:12" ht="15.75">
      <c r="A65" s="2" t="s">
        <v>70</v>
      </c>
      <c r="B65" s="3" t="s">
        <v>353</v>
      </c>
      <c r="C65" s="3" t="s">
        <v>21</v>
      </c>
      <c r="D65" s="116">
        <f>F65</f>
        <v>60</v>
      </c>
      <c r="E65" s="132"/>
      <c r="F65" s="132">
        <v>60</v>
      </c>
      <c r="G65" s="132"/>
      <c r="H65" s="132"/>
      <c r="I65" s="132"/>
      <c r="J65" s="132"/>
      <c r="K65" s="132"/>
      <c r="L65" s="49">
        <v>18</v>
      </c>
    </row>
    <row r="66" spans="1:12" ht="15.75" customHeight="1" hidden="1">
      <c r="A66" s="193" t="s">
        <v>71</v>
      </c>
      <c r="B66" s="194" t="s">
        <v>206</v>
      </c>
      <c r="C66" s="3" t="s">
        <v>6</v>
      </c>
      <c r="D66" s="116">
        <f>15+I66</f>
        <v>0</v>
      </c>
      <c r="E66" s="132"/>
      <c r="F66" s="132"/>
      <c r="G66" s="132"/>
      <c r="H66" s="132"/>
      <c r="I66" s="132">
        <v>-15</v>
      </c>
      <c r="J66" s="132"/>
      <c r="K66" s="132"/>
      <c r="L66" s="49"/>
    </row>
    <row r="67" spans="1:12" ht="15.75">
      <c r="A67" s="193"/>
      <c r="B67" s="194"/>
      <c r="C67" s="3" t="s">
        <v>8</v>
      </c>
      <c r="D67" s="116">
        <f>120+I67</f>
        <v>115.8</v>
      </c>
      <c r="E67" s="132"/>
      <c r="F67" s="132"/>
      <c r="G67" s="132"/>
      <c r="H67" s="132"/>
      <c r="I67" s="163">
        <v>-4.2</v>
      </c>
      <c r="J67" s="132"/>
      <c r="K67" s="132"/>
      <c r="L67" s="49">
        <v>51.1</v>
      </c>
    </row>
    <row r="68" spans="1:12" ht="15.75">
      <c r="A68" s="2" t="s">
        <v>72</v>
      </c>
      <c r="B68" s="3" t="s">
        <v>208</v>
      </c>
      <c r="C68" s="3" t="s">
        <v>209</v>
      </c>
      <c r="D68" s="116">
        <f>50+I68</f>
        <v>44.5</v>
      </c>
      <c r="E68" s="132"/>
      <c r="F68" s="132"/>
      <c r="G68" s="132"/>
      <c r="H68" s="132"/>
      <c r="I68" s="163">
        <v>-5.5</v>
      </c>
      <c r="J68" s="164"/>
      <c r="K68" s="132"/>
      <c r="L68" s="49">
        <v>44.5</v>
      </c>
    </row>
    <row r="69" spans="1:12" ht="31.5">
      <c r="A69" s="2" t="s">
        <v>73</v>
      </c>
      <c r="B69" s="3" t="s">
        <v>203</v>
      </c>
      <c r="C69" s="3" t="s">
        <v>5</v>
      </c>
      <c r="D69" s="116">
        <f>10+K69</f>
        <v>35</v>
      </c>
      <c r="E69" s="132"/>
      <c r="F69" s="132"/>
      <c r="G69" s="132"/>
      <c r="H69" s="132"/>
      <c r="I69" s="132"/>
      <c r="J69" s="164"/>
      <c r="K69" s="132">
        <v>25</v>
      </c>
      <c r="L69" s="49">
        <v>34.8</v>
      </c>
    </row>
    <row r="70" spans="1:12" ht="15.75">
      <c r="A70" s="2" t="s">
        <v>74</v>
      </c>
      <c r="B70" s="3" t="s">
        <v>228</v>
      </c>
      <c r="C70" s="3" t="s">
        <v>21</v>
      </c>
      <c r="D70" s="116">
        <f>200+I70</f>
        <v>120.5</v>
      </c>
      <c r="E70" s="132"/>
      <c r="F70" s="132"/>
      <c r="G70" s="132"/>
      <c r="H70" s="132"/>
      <c r="I70" s="163">
        <v>-79.5</v>
      </c>
      <c r="J70" s="164"/>
      <c r="K70" s="132"/>
      <c r="L70" s="49">
        <v>120</v>
      </c>
    </row>
    <row r="71" spans="1:12" ht="31.5" customHeight="1">
      <c r="A71" s="193" t="s">
        <v>75</v>
      </c>
      <c r="B71" s="194" t="s">
        <v>199</v>
      </c>
      <c r="C71" s="3" t="s">
        <v>200</v>
      </c>
      <c r="D71" s="116">
        <v>40</v>
      </c>
      <c r="E71" s="132"/>
      <c r="F71" s="132"/>
      <c r="G71" s="132"/>
      <c r="H71" s="132"/>
      <c r="I71" s="132"/>
      <c r="J71" s="132"/>
      <c r="K71" s="132"/>
      <c r="L71" s="49">
        <v>39.9</v>
      </c>
    </row>
    <row r="72" spans="1:12" ht="15.75">
      <c r="A72" s="193"/>
      <c r="B72" s="194"/>
      <c r="C72" s="3" t="s">
        <v>14</v>
      </c>
      <c r="D72" s="116">
        <f>60+I72</f>
        <v>59</v>
      </c>
      <c r="E72" s="132"/>
      <c r="F72" s="132"/>
      <c r="G72" s="132"/>
      <c r="H72" s="132"/>
      <c r="I72" s="132">
        <v>-1</v>
      </c>
      <c r="J72" s="132"/>
      <c r="K72" s="132"/>
      <c r="L72" s="49">
        <v>58.1</v>
      </c>
    </row>
    <row r="73" spans="1:12" ht="15.75">
      <c r="A73" s="2" t="s">
        <v>100</v>
      </c>
      <c r="B73" s="3" t="s">
        <v>364</v>
      </c>
      <c r="C73" s="3" t="s">
        <v>21</v>
      </c>
      <c r="D73" s="116">
        <f>60+I73</f>
        <v>57.4</v>
      </c>
      <c r="E73" s="132"/>
      <c r="F73" s="132"/>
      <c r="G73" s="132"/>
      <c r="H73" s="132"/>
      <c r="I73" s="132">
        <v>-2.6</v>
      </c>
      <c r="J73" s="132"/>
      <c r="K73" s="132"/>
      <c r="L73" s="49">
        <v>17</v>
      </c>
    </row>
    <row r="74" spans="1:12" ht="15.75">
      <c r="A74" s="2" t="s">
        <v>76</v>
      </c>
      <c r="B74" s="3" t="s">
        <v>354</v>
      </c>
      <c r="C74" s="3" t="s">
        <v>21</v>
      </c>
      <c r="D74" s="116">
        <f>F74</f>
        <v>45</v>
      </c>
      <c r="E74" s="132"/>
      <c r="F74" s="132">
        <v>45</v>
      </c>
      <c r="G74" s="132"/>
      <c r="H74" s="132"/>
      <c r="I74" s="132"/>
      <c r="J74" s="132"/>
      <c r="K74" s="132"/>
      <c r="L74" s="49">
        <v>13.4</v>
      </c>
    </row>
    <row r="75" spans="1:12" ht="15.75">
      <c r="A75" s="2" t="s">
        <v>77</v>
      </c>
      <c r="B75" s="3" t="s">
        <v>198</v>
      </c>
      <c r="C75" s="3" t="s">
        <v>21</v>
      </c>
      <c r="D75" s="116">
        <v>100</v>
      </c>
      <c r="E75" s="132"/>
      <c r="F75" s="132"/>
      <c r="G75" s="132"/>
      <c r="H75" s="132"/>
      <c r="I75" s="132"/>
      <c r="J75" s="132"/>
      <c r="K75" s="132"/>
      <c r="L75" s="49">
        <v>99.1</v>
      </c>
    </row>
    <row r="76" spans="1:12" ht="15.75">
      <c r="A76" s="2" t="s">
        <v>78</v>
      </c>
      <c r="B76" s="3" t="s">
        <v>361</v>
      </c>
      <c r="C76" s="3" t="s">
        <v>19</v>
      </c>
      <c r="D76" s="116">
        <f>F76+I76+K76</f>
        <v>99.3</v>
      </c>
      <c r="E76" s="132"/>
      <c r="F76" s="132">
        <v>100</v>
      </c>
      <c r="G76" s="132"/>
      <c r="H76" s="132"/>
      <c r="I76" s="162"/>
      <c r="J76" s="132"/>
      <c r="K76" s="132">
        <v>-0.7</v>
      </c>
      <c r="L76" s="49">
        <v>99.3</v>
      </c>
    </row>
    <row r="77" spans="1:12" ht="15.75">
      <c r="A77" s="2" t="s">
        <v>79</v>
      </c>
      <c r="B77" s="3" t="s">
        <v>434</v>
      </c>
      <c r="C77" s="3" t="s">
        <v>435</v>
      </c>
      <c r="D77" s="116">
        <f>+I77</f>
        <v>14</v>
      </c>
      <c r="E77" s="132"/>
      <c r="F77" s="132"/>
      <c r="G77" s="132"/>
      <c r="H77" s="132"/>
      <c r="I77" s="162">
        <v>14</v>
      </c>
      <c r="J77" s="132"/>
      <c r="K77" s="132"/>
      <c r="L77" s="49">
        <v>0</v>
      </c>
    </row>
    <row r="78" spans="1:12" ht="31.5">
      <c r="A78" s="2"/>
      <c r="B78" s="4" t="s">
        <v>495</v>
      </c>
      <c r="C78" s="3"/>
      <c r="D78" s="113">
        <f>SUM(D61:D77)</f>
        <v>1614.6000000000001</v>
      </c>
      <c r="E78" s="132"/>
      <c r="F78" s="132"/>
      <c r="G78" s="132"/>
      <c r="H78" s="132"/>
      <c r="I78" s="5">
        <f>SUM(I61:I77)</f>
        <v>156.30000000000004</v>
      </c>
      <c r="J78" s="132"/>
      <c r="K78" s="113"/>
      <c r="L78" s="113">
        <f>SUM(L61:L77)</f>
        <v>1371.7</v>
      </c>
    </row>
    <row r="79" spans="1:12" ht="15.75">
      <c r="A79" s="2" t="s">
        <v>80</v>
      </c>
      <c r="B79" s="3" t="s">
        <v>3</v>
      </c>
      <c r="C79" s="3" t="s">
        <v>4</v>
      </c>
      <c r="D79" s="116">
        <f>3000+J79</f>
        <v>7000</v>
      </c>
      <c r="E79" s="132"/>
      <c r="F79" s="132"/>
      <c r="G79" s="132"/>
      <c r="H79" s="132"/>
      <c r="I79" s="132"/>
      <c r="J79" s="132">
        <v>4000</v>
      </c>
      <c r="K79" s="132"/>
      <c r="L79" s="49">
        <v>7000</v>
      </c>
    </row>
    <row r="80" spans="1:12" ht="31.5">
      <c r="A80" s="2" t="s">
        <v>81</v>
      </c>
      <c r="B80" s="3" t="s">
        <v>362</v>
      </c>
      <c r="C80" s="3" t="s">
        <v>5</v>
      </c>
      <c r="D80" s="116">
        <f>120+K80</f>
        <v>214</v>
      </c>
      <c r="E80" s="132"/>
      <c r="F80" s="132"/>
      <c r="G80" s="132"/>
      <c r="H80" s="132"/>
      <c r="I80" s="132"/>
      <c r="J80" s="132"/>
      <c r="K80" s="132">
        <v>94</v>
      </c>
      <c r="L80" s="49">
        <v>213.9</v>
      </c>
    </row>
    <row r="81" spans="1:12" ht="15.75" customHeight="1" hidden="1">
      <c r="A81" s="2" t="s">
        <v>81</v>
      </c>
      <c r="B81" s="3" t="s">
        <v>363</v>
      </c>
      <c r="C81" s="3" t="s">
        <v>6</v>
      </c>
      <c r="D81" s="116">
        <f>91+I81</f>
        <v>0</v>
      </c>
      <c r="E81" s="132"/>
      <c r="F81" s="132"/>
      <c r="G81" s="132"/>
      <c r="H81" s="132"/>
      <c r="I81" s="132">
        <v>-91</v>
      </c>
      <c r="J81" s="132"/>
      <c r="K81" s="132"/>
      <c r="L81" s="49"/>
    </row>
    <row r="82" spans="1:12" ht="15.75">
      <c r="A82" s="2" t="s">
        <v>82</v>
      </c>
      <c r="B82" s="3" t="s">
        <v>7</v>
      </c>
      <c r="C82" s="3" t="s">
        <v>8</v>
      </c>
      <c r="D82" s="116">
        <f>133+I82</f>
        <v>128.7</v>
      </c>
      <c r="E82" s="132"/>
      <c r="F82" s="132"/>
      <c r="G82" s="132"/>
      <c r="H82" s="132"/>
      <c r="I82" s="132">
        <v>-4.3</v>
      </c>
      <c r="J82" s="132"/>
      <c r="K82" s="132"/>
      <c r="L82" s="49">
        <v>128.7</v>
      </c>
    </row>
    <row r="83" spans="1:12" ht="31.5" customHeight="1">
      <c r="A83" s="2" t="s">
        <v>83</v>
      </c>
      <c r="B83" s="3" t="s">
        <v>201</v>
      </c>
      <c r="C83" s="3" t="s">
        <v>202</v>
      </c>
      <c r="D83" s="116">
        <f>100+I83</f>
        <v>94</v>
      </c>
      <c r="E83" s="132"/>
      <c r="F83" s="132"/>
      <c r="G83" s="132"/>
      <c r="H83" s="132"/>
      <c r="I83" s="132">
        <v>-6</v>
      </c>
      <c r="J83" s="132"/>
      <c r="K83" s="132"/>
      <c r="L83" s="49">
        <v>88.2</v>
      </c>
    </row>
    <row r="84" spans="1:12" ht="15.75">
      <c r="A84" s="193" t="s">
        <v>84</v>
      </c>
      <c r="B84" s="194" t="s">
        <v>27</v>
      </c>
      <c r="C84" s="3" t="s">
        <v>28</v>
      </c>
      <c r="D84" s="116">
        <f>100+I84</f>
        <v>90</v>
      </c>
      <c r="E84" s="132"/>
      <c r="F84" s="132"/>
      <c r="G84" s="132"/>
      <c r="H84" s="132"/>
      <c r="I84" s="163">
        <v>-10</v>
      </c>
      <c r="J84" s="132"/>
      <c r="K84" s="132"/>
      <c r="L84" s="49">
        <v>0</v>
      </c>
    </row>
    <row r="85" spans="1:12" ht="30.75" customHeight="1">
      <c r="A85" s="193"/>
      <c r="B85" s="194"/>
      <c r="C85" s="3" t="s">
        <v>29</v>
      </c>
      <c r="D85" s="116">
        <v>200</v>
      </c>
      <c r="E85" s="132"/>
      <c r="F85" s="132"/>
      <c r="G85" s="132"/>
      <c r="H85" s="132"/>
      <c r="I85" s="163"/>
      <c r="J85" s="132"/>
      <c r="K85" s="132"/>
      <c r="L85" s="49">
        <v>87</v>
      </c>
    </row>
    <row r="86" spans="1:12" ht="15.75">
      <c r="A86" s="2" t="s">
        <v>219</v>
      </c>
      <c r="B86" s="3" t="s">
        <v>196</v>
      </c>
      <c r="C86" s="3" t="s">
        <v>21</v>
      </c>
      <c r="D86" s="116">
        <f>175+I86+K86</f>
        <v>168.1</v>
      </c>
      <c r="E86" s="132"/>
      <c r="F86" s="132"/>
      <c r="G86" s="132"/>
      <c r="H86" s="132"/>
      <c r="I86" s="163">
        <v>-6</v>
      </c>
      <c r="J86" s="132"/>
      <c r="K86" s="132">
        <v>-0.9</v>
      </c>
      <c r="L86" s="49">
        <v>50.2</v>
      </c>
    </row>
    <row r="87" spans="1:12" ht="15.75">
      <c r="A87" s="2" t="s">
        <v>220</v>
      </c>
      <c r="B87" s="3" t="s">
        <v>229</v>
      </c>
      <c r="C87" s="3" t="s">
        <v>8</v>
      </c>
      <c r="D87" s="116">
        <f>280+I87</f>
        <v>247</v>
      </c>
      <c r="E87" s="132"/>
      <c r="F87" s="132"/>
      <c r="G87" s="132"/>
      <c r="H87" s="132"/>
      <c r="I87" s="163">
        <v>-33</v>
      </c>
      <c r="J87" s="132"/>
      <c r="K87" s="132"/>
      <c r="L87" s="49">
        <v>247</v>
      </c>
    </row>
    <row r="88" spans="1:12" ht="15.75">
      <c r="A88" s="2" t="s">
        <v>221</v>
      </c>
      <c r="B88" s="3" t="s">
        <v>225</v>
      </c>
      <c r="C88" s="3" t="s">
        <v>21</v>
      </c>
      <c r="D88" s="116">
        <f>500+I88+K88</f>
        <v>414.4</v>
      </c>
      <c r="E88" s="132"/>
      <c r="F88" s="132"/>
      <c r="G88" s="132"/>
      <c r="H88" s="132"/>
      <c r="I88" s="163">
        <v>-85</v>
      </c>
      <c r="J88" s="132"/>
      <c r="K88" s="132">
        <v>-0.6</v>
      </c>
      <c r="L88" s="49">
        <v>414.3</v>
      </c>
    </row>
    <row r="89" spans="1:12" ht="30" customHeight="1">
      <c r="A89" s="54" t="s">
        <v>222</v>
      </c>
      <c r="B89" s="55" t="s">
        <v>9</v>
      </c>
      <c r="C89" s="3" t="s">
        <v>23</v>
      </c>
      <c r="D89" s="116">
        <f>200+I89</f>
        <v>172</v>
      </c>
      <c r="E89" s="132"/>
      <c r="F89" s="132"/>
      <c r="G89" s="132"/>
      <c r="H89" s="132"/>
      <c r="I89" s="163">
        <v>-28</v>
      </c>
      <c r="J89" s="132"/>
      <c r="K89" s="132"/>
      <c r="L89" s="49">
        <v>171.8</v>
      </c>
    </row>
    <row r="90" spans="1:12" ht="15.75">
      <c r="A90" s="2" t="s">
        <v>231</v>
      </c>
      <c r="B90" s="3" t="s">
        <v>11</v>
      </c>
      <c r="C90" s="3" t="s">
        <v>8</v>
      </c>
      <c r="D90" s="116">
        <f>270+I90</f>
        <v>237</v>
      </c>
      <c r="E90" s="132"/>
      <c r="F90" s="132"/>
      <c r="G90" s="132"/>
      <c r="H90" s="132"/>
      <c r="I90" s="165">
        <v>-33</v>
      </c>
      <c r="J90" s="132"/>
      <c r="K90" s="132"/>
      <c r="L90" s="49">
        <v>236.3</v>
      </c>
    </row>
    <row r="91" spans="1:12" ht="15.75">
      <c r="A91" s="193" t="s">
        <v>232</v>
      </c>
      <c r="B91" s="194" t="s">
        <v>12</v>
      </c>
      <c r="C91" s="3" t="s">
        <v>13</v>
      </c>
      <c r="D91" s="116">
        <v>80</v>
      </c>
      <c r="E91" s="132"/>
      <c r="F91" s="132"/>
      <c r="G91" s="132"/>
      <c r="H91" s="132"/>
      <c r="I91" s="164"/>
      <c r="J91" s="132"/>
      <c r="K91" s="132"/>
      <c r="L91" s="49">
        <v>80</v>
      </c>
    </row>
    <row r="92" spans="1:12" ht="30" customHeight="1">
      <c r="A92" s="193"/>
      <c r="B92" s="194"/>
      <c r="C92" s="3" t="s">
        <v>210</v>
      </c>
      <c r="D92" s="116">
        <f>40+K92</f>
        <v>47.3</v>
      </c>
      <c r="E92" s="132"/>
      <c r="F92" s="132"/>
      <c r="G92" s="132"/>
      <c r="H92" s="132"/>
      <c r="I92" s="164"/>
      <c r="J92" s="132"/>
      <c r="K92" s="132">
        <v>7.3</v>
      </c>
      <c r="L92" s="49">
        <v>47.3</v>
      </c>
    </row>
    <row r="93" spans="1:12" ht="15.75">
      <c r="A93" s="193"/>
      <c r="B93" s="194"/>
      <c r="C93" s="3" t="s">
        <v>14</v>
      </c>
      <c r="D93" s="116">
        <v>90</v>
      </c>
      <c r="E93" s="132"/>
      <c r="F93" s="132"/>
      <c r="G93" s="132"/>
      <c r="H93" s="132"/>
      <c r="I93" s="164"/>
      <c r="J93" s="132"/>
      <c r="K93" s="132"/>
      <c r="L93" s="49">
        <v>89.3</v>
      </c>
    </row>
    <row r="94" spans="1:12" ht="15.75">
      <c r="A94" s="193"/>
      <c r="B94" s="194"/>
      <c r="C94" s="3" t="s">
        <v>226</v>
      </c>
      <c r="D94" s="116">
        <f>100+I94</f>
        <v>89</v>
      </c>
      <c r="E94" s="132"/>
      <c r="F94" s="132"/>
      <c r="G94" s="132"/>
      <c r="H94" s="132"/>
      <c r="I94" s="165">
        <v>-11</v>
      </c>
      <c r="J94" s="132"/>
      <c r="K94" s="132"/>
      <c r="L94" s="49">
        <v>89</v>
      </c>
    </row>
    <row r="95" spans="1:12" ht="15.75">
      <c r="A95" s="2" t="s">
        <v>233</v>
      </c>
      <c r="B95" s="3" t="s">
        <v>15</v>
      </c>
      <c r="C95" s="3" t="s">
        <v>16</v>
      </c>
      <c r="D95" s="116">
        <f>100+I95</f>
        <v>94</v>
      </c>
      <c r="E95" s="132"/>
      <c r="F95" s="132"/>
      <c r="G95" s="132"/>
      <c r="H95" s="132"/>
      <c r="I95" s="132">
        <v>-6</v>
      </c>
      <c r="J95" s="132"/>
      <c r="K95" s="132"/>
      <c r="L95" s="49">
        <v>93.8</v>
      </c>
    </row>
    <row r="96" spans="1:12" ht="15.75">
      <c r="A96" s="193" t="s">
        <v>234</v>
      </c>
      <c r="B96" s="194" t="s">
        <v>17</v>
      </c>
      <c r="C96" s="3" t="s">
        <v>10</v>
      </c>
      <c r="D96" s="116">
        <f>296+K96</f>
        <v>315.1</v>
      </c>
      <c r="E96" s="132"/>
      <c r="F96" s="132"/>
      <c r="G96" s="132"/>
      <c r="H96" s="132"/>
      <c r="I96" s="132"/>
      <c r="J96" s="132"/>
      <c r="K96" s="132">
        <v>19.1</v>
      </c>
      <c r="L96" s="49">
        <v>315</v>
      </c>
    </row>
    <row r="97" spans="1:12" ht="15.75">
      <c r="A97" s="193"/>
      <c r="B97" s="194"/>
      <c r="C97" s="3" t="s">
        <v>14</v>
      </c>
      <c r="D97" s="116">
        <f>100+I97</f>
        <v>94</v>
      </c>
      <c r="E97" s="132"/>
      <c r="F97" s="132"/>
      <c r="G97" s="132"/>
      <c r="H97" s="132"/>
      <c r="I97" s="132">
        <v>-6</v>
      </c>
      <c r="J97" s="132"/>
      <c r="K97" s="132"/>
      <c r="L97" s="49">
        <v>93.7</v>
      </c>
    </row>
    <row r="98" spans="1:12" ht="15.75">
      <c r="A98" s="2" t="s">
        <v>366</v>
      </c>
      <c r="B98" s="3" t="s">
        <v>18</v>
      </c>
      <c r="C98" s="3" t="s">
        <v>8</v>
      </c>
      <c r="D98" s="116">
        <f>220+K98</f>
        <v>238.3</v>
      </c>
      <c r="E98" s="132"/>
      <c r="F98" s="132"/>
      <c r="G98" s="132"/>
      <c r="H98" s="132"/>
      <c r="I98" s="132"/>
      <c r="J98" s="132"/>
      <c r="K98" s="132">
        <v>18.3</v>
      </c>
      <c r="L98" s="49">
        <v>238.2</v>
      </c>
    </row>
    <row r="99" spans="1:12" ht="31.5">
      <c r="A99" s="2" t="s">
        <v>235</v>
      </c>
      <c r="B99" s="3" t="s">
        <v>381</v>
      </c>
      <c r="C99" s="3" t="s">
        <v>8</v>
      </c>
      <c r="D99" s="116">
        <f>150+I99</f>
        <v>145</v>
      </c>
      <c r="E99" s="132"/>
      <c r="F99" s="132"/>
      <c r="G99" s="132"/>
      <c r="H99" s="132"/>
      <c r="I99" s="164">
        <v>-5</v>
      </c>
      <c r="J99" s="132"/>
      <c r="K99" s="132"/>
      <c r="L99" s="49">
        <v>43.3</v>
      </c>
    </row>
    <row r="100" spans="1:12" ht="15.75">
      <c r="A100" s="193" t="s">
        <v>236</v>
      </c>
      <c r="B100" s="194" t="s">
        <v>308</v>
      </c>
      <c r="C100" s="3" t="s">
        <v>21</v>
      </c>
      <c r="D100" s="116">
        <f>150+K100</f>
        <v>128</v>
      </c>
      <c r="E100" s="132"/>
      <c r="F100" s="132"/>
      <c r="G100" s="132"/>
      <c r="H100" s="132"/>
      <c r="I100" s="164"/>
      <c r="J100" s="132"/>
      <c r="K100" s="132">
        <v>-22</v>
      </c>
      <c r="L100" s="49">
        <v>127.2</v>
      </c>
    </row>
    <row r="101" spans="1:12" ht="15.75">
      <c r="A101" s="193"/>
      <c r="B101" s="194"/>
      <c r="C101" s="3" t="s">
        <v>355</v>
      </c>
      <c r="D101" s="116">
        <f>F101</f>
        <v>50</v>
      </c>
      <c r="E101" s="132"/>
      <c r="F101" s="132">
        <v>50</v>
      </c>
      <c r="G101" s="132"/>
      <c r="H101" s="132"/>
      <c r="I101" s="164"/>
      <c r="J101" s="132"/>
      <c r="K101" s="132"/>
      <c r="L101" s="49">
        <v>45</v>
      </c>
    </row>
    <row r="102" spans="1:12" ht="15.75">
      <c r="A102" s="193"/>
      <c r="B102" s="194"/>
      <c r="C102" s="3" t="s">
        <v>356</v>
      </c>
      <c r="D102" s="116">
        <f>F102+I102+K102</f>
        <v>100</v>
      </c>
      <c r="E102" s="132"/>
      <c r="F102" s="132">
        <v>100</v>
      </c>
      <c r="G102" s="132"/>
      <c r="H102" s="132"/>
      <c r="I102" s="164">
        <v>-22</v>
      </c>
      <c r="J102" s="132"/>
      <c r="K102" s="132">
        <v>22</v>
      </c>
      <c r="L102" s="49">
        <v>0</v>
      </c>
    </row>
    <row r="103" spans="1:12" ht="15.75">
      <c r="A103" s="2" t="s">
        <v>239</v>
      </c>
      <c r="B103" s="3" t="s">
        <v>238</v>
      </c>
      <c r="C103" s="3" t="s">
        <v>21</v>
      </c>
      <c r="D103" s="116">
        <f>276.6+I103+K103</f>
        <v>235.40000000000003</v>
      </c>
      <c r="E103" s="132"/>
      <c r="F103" s="132"/>
      <c r="G103" s="132"/>
      <c r="H103" s="132"/>
      <c r="I103" s="164">
        <v>-40</v>
      </c>
      <c r="J103" s="132"/>
      <c r="K103" s="132">
        <v>-1.2</v>
      </c>
      <c r="L103" s="49">
        <v>235.4</v>
      </c>
    </row>
    <row r="104" spans="1:12" ht="15.75">
      <c r="A104" s="2" t="s">
        <v>305</v>
      </c>
      <c r="B104" s="3" t="s">
        <v>293</v>
      </c>
      <c r="C104" s="3" t="s">
        <v>21</v>
      </c>
      <c r="D104" s="116">
        <f>300+I104</f>
        <v>297</v>
      </c>
      <c r="E104" s="132"/>
      <c r="F104" s="132"/>
      <c r="G104" s="132"/>
      <c r="H104" s="132"/>
      <c r="I104" s="165">
        <v>-3</v>
      </c>
      <c r="J104" s="132"/>
      <c r="K104" s="132"/>
      <c r="L104" s="49">
        <v>296.2</v>
      </c>
    </row>
    <row r="105" spans="1:12" ht="32.25" customHeight="1">
      <c r="A105" s="2" t="s">
        <v>237</v>
      </c>
      <c r="B105" s="3" t="s">
        <v>367</v>
      </c>
      <c r="C105" s="3" t="s">
        <v>19</v>
      </c>
      <c r="D105" s="116">
        <f>100+F105+K105</f>
        <v>91</v>
      </c>
      <c r="E105" s="132"/>
      <c r="F105" s="132">
        <f>155-100</f>
        <v>55</v>
      </c>
      <c r="G105" s="132"/>
      <c r="H105" s="132"/>
      <c r="I105" s="132"/>
      <c r="J105" s="132"/>
      <c r="K105" s="132">
        <f>-64</f>
        <v>-64</v>
      </c>
      <c r="L105" s="49">
        <v>39</v>
      </c>
    </row>
    <row r="106" spans="1:12" ht="31.5">
      <c r="A106" s="2"/>
      <c r="B106" s="4" t="s">
        <v>101</v>
      </c>
      <c r="C106" s="3"/>
      <c r="D106" s="113">
        <f>SUM(D79:D105)</f>
        <v>11059.3</v>
      </c>
      <c r="E106" s="132"/>
      <c r="F106" s="132"/>
      <c r="G106" s="132"/>
      <c r="H106" s="132"/>
      <c r="I106" s="5">
        <f>SUM(I79:I105)</f>
        <v>-389.3</v>
      </c>
      <c r="J106" s="132"/>
      <c r="K106" s="113"/>
      <c r="L106" s="113">
        <f>SUM(L79:L105)</f>
        <v>10469.799999999997</v>
      </c>
    </row>
    <row r="107" spans="1:12" ht="15.75" customHeight="1">
      <c r="A107" s="193" t="s">
        <v>240</v>
      </c>
      <c r="B107" s="194" t="s">
        <v>20</v>
      </c>
      <c r="C107" s="3" t="s">
        <v>14</v>
      </c>
      <c r="D107" s="116">
        <f>150+I107</f>
        <v>115</v>
      </c>
      <c r="E107" s="132"/>
      <c r="F107" s="132"/>
      <c r="G107" s="132"/>
      <c r="H107" s="132"/>
      <c r="I107" s="163">
        <v>-35</v>
      </c>
      <c r="J107" s="132"/>
      <c r="K107" s="132"/>
      <c r="L107" s="49">
        <v>34.4</v>
      </c>
    </row>
    <row r="108" spans="1:12" ht="32.25" customHeight="1">
      <c r="A108" s="193"/>
      <c r="B108" s="194"/>
      <c r="C108" s="25" t="s">
        <v>21</v>
      </c>
      <c r="D108" s="117">
        <f>250+I108</f>
        <v>227</v>
      </c>
      <c r="E108" s="132"/>
      <c r="F108" s="132"/>
      <c r="G108" s="132"/>
      <c r="H108" s="132"/>
      <c r="I108" s="163">
        <v>-23</v>
      </c>
      <c r="J108" s="132"/>
      <c r="K108" s="132"/>
      <c r="L108" s="49">
        <v>68</v>
      </c>
    </row>
    <row r="109" spans="1:12" ht="31.5">
      <c r="A109" s="2"/>
      <c r="B109" s="4" t="s">
        <v>102</v>
      </c>
      <c r="C109" s="3"/>
      <c r="D109" s="113">
        <f>SUM(D107:D108)</f>
        <v>342</v>
      </c>
      <c r="E109" s="132"/>
      <c r="F109" s="132"/>
      <c r="G109" s="132"/>
      <c r="H109" s="132"/>
      <c r="I109" s="5">
        <f>SUM(I107:I108)</f>
        <v>-58</v>
      </c>
      <c r="J109" s="132"/>
      <c r="K109" s="132"/>
      <c r="L109" s="113">
        <f>SUM(L107:L108)</f>
        <v>102.4</v>
      </c>
    </row>
    <row r="110" spans="1:12" ht="30" customHeight="1">
      <c r="A110" s="193" t="s">
        <v>309</v>
      </c>
      <c r="B110" s="194" t="s">
        <v>62</v>
      </c>
      <c r="C110" s="3" t="s">
        <v>360</v>
      </c>
      <c r="D110" s="116">
        <f>600+K110</f>
        <v>410</v>
      </c>
      <c r="E110" s="132"/>
      <c r="F110" s="132"/>
      <c r="G110" s="132"/>
      <c r="H110" s="132"/>
      <c r="I110" s="132"/>
      <c r="J110" s="132"/>
      <c r="K110" s="132">
        <v>-190</v>
      </c>
      <c r="L110" s="49">
        <v>120</v>
      </c>
    </row>
    <row r="111" spans="1:12" ht="15.75" customHeight="1">
      <c r="A111" s="193"/>
      <c r="B111" s="194"/>
      <c r="C111" s="3" t="s">
        <v>357</v>
      </c>
      <c r="D111" s="116">
        <f>F111</f>
        <v>336</v>
      </c>
      <c r="E111" s="132"/>
      <c r="F111" s="132">
        <v>336</v>
      </c>
      <c r="G111" s="132"/>
      <c r="H111" s="132"/>
      <c r="I111" s="132"/>
      <c r="J111" s="132"/>
      <c r="K111" s="132"/>
      <c r="L111" s="49">
        <v>270.2</v>
      </c>
    </row>
    <row r="112" spans="1:12" ht="15.75">
      <c r="A112" s="193"/>
      <c r="B112" s="194"/>
      <c r="C112" s="3" t="s">
        <v>358</v>
      </c>
      <c r="D112" s="116">
        <f>F112+K112</f>
        <v>454</v>
      </c>
      <c r="E112" s="132"/>
      <c r="F112" s="132">
        <v>264</v>
      </c>
      <c r="G112" s="132"/>
      <c r="H112" s="132"/>
      <c r="I112" s="132"/>
      <c r="J112" s="132"/>
      <c r="K112" s="132">
        <v>190</v>
      </c>
      <c r="L112" s="49">
        <v>335.3</v>
      </c>
    </row>
    <row r="113" spans="1:12" ht="31.5">
      <c r="A113" s="2"/>
      <c r="B113" s="4" t="s">
        <v>103</v>
      </c>
      <c r="C113" s="3"/>
      <c r="D113" s="113">
        <f>SUM(D110:D112)</f>
        <v>1200</v>
      </c>
      <c r="E113" s="132"/>
      <c r="F113" s="132"/>
      <c r="G113" s="132"/>
      <c r="H113" s="132"/>
      <c r="I113" s="132"/>
      <c r="J113" s="132"/>
      <c r="K113" s="113"/>
      <c r="L113" s="113">
        <f>SUM(L110:L112)</f>
        <v>725.5</v>
      </c>
    </row>
    <row r="114" spans="1:12" ht="30" customHeight="1">
      <c r="A114" s="193" t="s">
        <v>310</v>
      </c>
      <c r="B114" s="194" t="s">
        <v>24</v>
      </c>
      <c r="C114" s="3" t="s">
        <v>386</v>
      </c>
      <c r="D114" s="116">
        <f>F114+200+I114</f>
        <v>52</v>
      </c>
      <c r="E114" s="132"/>
      <c r="F114" s="132">
        <v>-146</v>
      </c>
      <c r="G114" s="132"/>
      <c r="H114" s="132"/>
      <c r="I114" s="132">
        <v>-2</v>
      </c>
      <c r="J114" s="132"/>
      <c r="K114" s="132"/>
      <c r="L114" s="49">
        <v>15.5</v>
      </c>
    </row>
    <row r="115" spans="1:12" ht="30" customHeight="1">
      <c r="A115" s="193"/>
      <c r="B115" s="194"/>
      <c r="C115" s="3" t="s">
        <v>385</v>
      </c>
      <c r="D115" s="116">
        <f>F115+I115</f>
        <v>101.2</v>
      </c>
      <c r="E115" s="132"/>
      <c r="F115" s="132">
        <v>105</v>
      </c>
      <c r="G115" s="132"/>
      <c r="H115" s="132"/>
      <c r="I115" s="132">
        <v>-3.8</v>
      </c>
      <c r="J115" s="132"/>
      <c r="K115" s="132"/>
      <c r="L115" s="49">
        <v>34.1</v>
      </c>
    </row>
    <row r="116" spans="1:12" ht="30" customHeight="1">
      <c r="A116" s="193"/>
      <c r="B116" s="194"/>
      <c r="C116" s="3" t="s">
        <v>383</v>
      </c>
      <c r="D116" s="116">
        <f>F116+I116</f>
        <v>12.8</v>
      </c>
      <c r="E116" s="132"/>
      <c r="F116" s="132">
        <v>12.8</v>
      </c>
      <c r="G116" s="132"/>
      <c r="H116" s="132"/>
      <c r="I116" s="162"/>
      <c r="J116" s="132"/>
      <c r="K116" s="132"/>
      <c r="L116" s="49">
        <v>0</v>
      </c>
    </row>
    <row r="117" spans="1:12" ht="29.25" customHeight="1">
      <c r="A117" s="193"/>
      <c r="B117" s="194"/>
      <c r="C117" s="3" t="s">
        <v>384</v>
      </c>
      <c r="D117" s="116">
        <f>F117+I117</f>
        <v>26.599999999999998</v>
      </c>
      <c r="E117" s="132"/>
      <c r="F117" s="132">
        <v>28.2</v>
      </c>
      <c r="G117" s="132"/>
      <c r="H117" s="132"/>
      <c r="I117" s="132">
        <v>-1.6</v>
      </c>
      <c r="J117" s="132"/>
      <c r="K117" s="132"/>
      <c r="L117" s="49">
        <v>26.6</v>
      </c>
    </row>
    <row r="118" spans="1:12" ht="15.75" hidden="1">
      <c r="A118" s="2" t="s">
        <v>368</v>
      </c>
      <c r="B118" s="3" t="s">
        <v>359</v>
      </c>
      <c r="C118" s="3" t="s">
        <v>13</v>
      </c>
      <c r="D118" s="116">
        <f>F118+I118</f>
        <v>0</v>
      </c>
      <c r="E118" s="132"/>
      <c r="F118" s="132">
        <v>43</v>
      </c>
      <c r="G118" s="132"/>
      <c r="H118" s="132"/>
      <c r="I118" s="163">
        <v>-43</v>
      </c>
      <c r="J118" s="132"/>
      <c r="K118" s="132"/>
      <c r="L118" s="49"/>
    </row>
    <row r="119" spans="1:12" ht="31.5" customHeight="1">
      <c r="A119" s="2" t="s">
        <v>368</v>
      </c>
      <c r="B119" s="3" t="s">
        <v>359</v>
      </c>
      <c r="C119" s="3" t="s">
        <v>23</v>
      </c>
      <c r="D119" s="116">
        <f>+I119+K119</f>
        <v>46</v>
      </c>
      <c r="E119" s="132"/>
      <c r="F119" s="132"/>
      <c r="G119" s="132"/>
      <c r="H119" s="132"/>
      <c r="I119" s="163">
        <v>28</v>
      </c>
      <c r="J119" s="132"/>
      <c r="K119" s="132">
        <v>18</v>
      </c>
      <c r="L119" s="49">
        <v>42</v>
      </c>
    </row>
    <row r="120" spans="1:12" ht="31.5">
      <c r="A120" s="2"/>
      <c r="B120" s="4" t="s">
        <v>104</v>
      </c>
      <c r="C120" s="3"/>
      <c r="D120" s="113">
        <f>SUM(D114:D119)</f>
        <v>238.6</v>
      </c>
      <c r="E120" s="132"/>
      <c r="F120" s="132"/>
      <c r="G120" s="132"/>
      <c r="H120" s="132"/>
      <c r="I120" s="5">
        <f>SUM(I114:I119)</f>
        <v>-22.4</v>
      </c>
      <c r="J120" s="132"/>
      <c r="K120" s="113"/>
      <c r="L120" s="113">
        <f>SUM(L114:L119)</f>
        <v>118.2</v>
      </c>
    </row>
    <row r="121" spans="1:12" ht="31.5" customHeight="1">
      <c r="A121" s="2" t="s">
        <v>369</v>
      </c>
      <c r="B121" s="3" t="s">
        <v>22</v>
      </c>
      <c r="C121" s="3" t="s">
        <v>23</v>
      </c>
      <c r="D121" s="116">
        <f>120+I121</f>
        <v>110</v>
      </c>
      <c r="E121" s="132"/>
      <c r="F121" s="132"/>
      <c r="G121" s="132"/>
      <c r="H121" s="132"/>
      <c r="I121" s="163">
        <v>-10</v>
      </c>
      <c r="J121" s="132"/>
      <c r="K121" s="132"/>
      <c r="L121" s="49">
        <v>109.7</v>
      </c>
    </row>
    <row r="122" spans="1:12" ht="31.5">
      <c r="A122" s="2"/>
      <c r="B122" s="4" t="s">
        <v>105</v>
      </c>
      <c r="C122" s="3"/>
      <c r="D122" s="113">
        <f>SUM(D121)</f>
        <v>110</v>
      </c>
      <c r="E122" s="132"/>
      <c r="F122" s="132"/>
      <c r="G122" s="132"/>
      <c r="H122" s="132"/>
      <c r="I122" s="5">
        <f>SUM(I121)</f>
        <v>-10</v>
      </c>
      <c r="J122" s="132"/>
      <c r="K122" s="132"/>
      <c r="L122" s="113">
        <f>SUM(L121)</f>
        <v>109.7</v>
      </c>
    </row>
    <row r="123" spans="1:12" ht="31.5" customHeight="1">
      <c r="A123" s="2" t="s">
        <v>370</v>
      </c>
      <c r="B123" s="4" t="s">
        <v>388</v>
      </c>
      <c r="C123" s="3" t="s">
        <v>392</v>
      </c>
      <c r="D123" s="116">
        <v>16</v>
      </c>
      <c r="E123" s="132"/>
      <c r="F123" s="132"/>
      <c r="G123" s="132"/>
      <c r="H123" s="132"/>
      <c r="I123" s="132"/>
      <c r="J123" s="132"/>
      <c r="K123" s="132"/>
      <c r="L123" s="49">
        <v>16</v>
      </c>
    </row>
    <row r="124" spans="1:12" ht="15" customHeight="1">
      <c r="A124" s="2"/>
      <c r="B124" s="4" t="s">
        <v>389</v>
      </c>
      <c r="C124" s="3"/>
      <c r="D124" s="113">
        <v>16</v>
      </c>
      <c r="E124" s="132"/>
      <c r="F124" s="132"/>
      <c r="G124" s="132"/>
      <c r="H124" s="132"/>
      <c r="I124" s="132"/>
      <c r="J124" s="132"/>
      <c r="K124" s="132"/>
      <c r="L124" s="113">
        <v>16</v>
      </c>
    </row>
    <row r="125" spans="1:12" ht="15.75">
      <c r="A125" s="2" t="s">
        <v>390</v>
      </c>
      <c r="B125" s="204" t="s">
        <v>25</v>
      </c>
      <c r="C125" s="204"/>
      <c r="D125" s="113">
        <f>D126+D127+D128+D129+K125</f>
        <v>1113.2</v>
      </c>
      <c r="E125" s="132"/>
      <c r="F125" s="132">
        <f>SUM(F126:F129)</f>
        <v>-1153</v>
      </c>
      <c r="G125" s="132"/>
      <c r="H125" s="132"/>
      <c r="I125" s="132"/>
      <c r="J125" s="132"/>
      <c r="K125" s="113">
        <f>-42.3</f>
        <v>-42.3</v>
      </c>
      <c r="L125" s="113">
        <f>L126+L127+L128+L129+Q125</f>
        <v>1091.9</v>
      </c>
    </row>
    <row r="126" spans="1:12" ht="15.75" customHeight="1" hidden="1">
      <c r="A126" s="2" t="s">
        <v>376</v>
      </c>
      <c r="B126" s="25" t="s">
        <v>373</v>
      </c>
      <c r="C126" s="25"/>
      <c r="D126" s="116">
        <f>262+F126</f>
        <v>216</v>
      </c>
      <c r="E126" s="132"/>
      <c r="F126" s="132">
        <v>-46</v>
      </c>
      <c r="G126" s="132"/>
      <c r="H126" s="132"/>
      <c r="I126" s="132"/>
      <c r="J126" s="132"/>
      <c r="K126" s="132"/>
      <c r="L126" s="49">
        <v>216.5</v>
      </c>
    </row>
    <row r="127" spans="1:12" ht="15.75" customHeight="1" hidden="1">
      <c r="A127" s="2"/>
      <c r="B127" s="25" t="s">
        <v>374</v>
      </c>
      <c r="C127" s="25"/>
      <c r="D127" s="116">
        <f>1133+F127</f>
        <v>759</v>
      </c>
      <c r="E127" s="132"/>
      <c r="F127" s="132">
        <v>-374</v>
      </c>
      <c r="G127" s="132"/>
      <c r="H127" s="132"/>
      <c r="I127" s="132"/>
      <c r="J127" s="132"/>
      <c r="K127" s="132"/>
      <c r="L127" s="49">
        <v>716.1</v>
      </c>
    </row>
    <row r="128" spans="1:12" ht="15.75" customHeight="1" hidden="1">
      <c r="A128" s="2"/>
      <c r="B128" s="25" t="s">
        <v>375</v>
      </c>
      <c r="C128" s="25"/>
      <c r="D128" s="116">
        <f>652+F128+20</f>
        <v>40</v>
      </c>
      <c r="E128" s="132"/>
      <c r="F128" s="132">
        <v>-632</v>
      </c>
      <c r="G128" s="132"/>
      <c r="H128" s="132"/>
      <c r="I128" s="132"/>
      <c r="J128" s="132"/>
      <c r="K128" s="132"/>
      <c r="L128" s="49">
        <v>18.8</v>
      </c>
    </row>
    <row r="129" spans="1:12" ht="15.75" customHeight="1" hidden="1">
      <c r="A129" s="2"/>
      <c r="B129" s="25" t="s">
        <v>359</v>
      </c>
      <c r="C129" s="25"/>
      <c r="D129" s="116">
        <f>241.5+F129</f>
        <v>140.5</v>
      </c>
      <c r="E129" s="132"/>
      <c r="F129" s="132">
        <v>-101</v>
      </c>
      <c r="G129" s="132"/>
      <c r="H129" s="132"/>
      <c r="I129" s="132"/>
      <c r="J129" s="132"/>
      <c r="K129" s="132"/>
      <c r="L129" s="49">
        <v>140.5</v>
      </c>
    </row>
    <row r="130" spans="1:12" ht="15.75">
      <c r="A130" s="204" t="s">
        <v>26</v>
      </c>
      <c r="B130" s="204"/>
      <c r="C130" s="204"/>
      <c r="D130" s="113">
        <f>D125+D122+D120+D113+D109+D106+D78+D124</f>
        <v>15693.699999999999</v>
      </c>
      <c r="E130" s="132"/>
      <c r="F130" s="132">
        <f>SUM(F61:F125)</f>
        <v>-100</v>
      </c>
      <c r="G130" s="132"/>
      <c r="H130" s="132"/>
      <c r="I130" s="113">
        <f>I125+I122+I120+I113+I109+I106+I78+I124</f>
        <v>-323.4</v>
      </c>
      <c r="J130" s="132">
        <f>SUM(J61:J125)</f>
        <v>4000</v>
      </c>
      <c r="K130" s="113">
        <f>SUM(K61:K125)</f>
        <v>0</v>
      </c>
      <c r="L130" s="113">
        <f>L125+L122+L120+L113+L109+L106+L78+L124</f>
        <v>14005.199999999999</v>
      </c>
    </row>
    <row r="131" spans="1:12" ht="15.75">
      <c r="A131" s="24"/>
      <c r="B131" s="24"/>
      <c r="C131" s="24"/>
      <c r="D131" s="113"/>
      <c r="E131" s="132"/>
      <c r="F131" s="132"/>
      <c r="G131" s="132"/>
      <c r="H131" s="132"/>
      <c r="I131" s="132"/>
      <c r="J131" s="132"/>
      <c r="K131" s="132"/>
      <c r="L131" s="49"/>
    </row>
    <row r="132" spans="1:12" ht="15.75">
      <c r="A132" s="39" t="s">
        <v>85</v>
      </c>
      <c r="B132" s="204" t="s">
        <v>86</v>
      </c>
      <c r="C132" s="204"/>
      <c r="D132" s="116"/>
      <c r="E132" s="132"/>
      <c r="F132" s="132"/>
      <c r="G132" s="132"/>
      <c r="H132" s="132"/>
      <c r="I132" s="132"/>
      <c r="J132" s="132"/>
      <c r="K132" s="132"/>
      <c r="L132" s="49"/>
    </row>
    <row r="133" spans="1:12" ht="15.75">
      <c r="A133" s="2" t="s">
        <v>87</v>
      </c>
      <c r="B133" s="3" t="s">
        <v>61</v>
      </c>
      <c r="C133" s="3" t="s">
        <v>21</v>
      </c>
      <c r="D133" s="116">
        <v>200</v>
      </c>
      <c r="E133" s="132"/>
      <c r="F133" s="132"/>
      <c r="G133" s="132"/>
      <c r="H133" s="132"/>
      <c r="I133" s="132"/>
      <c r="J133" s="132"/>
      <c r="K133" s="132"/>
      <c r="L133" s="49">
        <v>200</v>
      </c>
    </row>
    <row r="134" spans="1:12" ht="30.75" customHeight="1">
      <c r="A134" s="2"/>
      <c r="B134" s="3"/>
      <c r="C134" s="3" t="s">
        <v>30</v>
      </c>
      <c r="D134" s="118">
        <v>24</v>
      </c>
      <c r="E134" s="132"/>
      <c r="F134" s="132"/>
      <c r="G134" s="132"/>
      <c r="H134" s="132"/>
      <c r="I134" s="132"/>
      <c r="J134" s="132"/>
      <c r="K134" s="132"/>
      <c r="L134" s="42">
        <v>23.1</v>
      </c>
    </row>
    <row r="135" spans="1:12" ht="30.75" customHeight="1">
      <c r="A135" s="2"/>
      <c r="B135" s="3"/>
      <c r="C135" s="3" t="s">
        <v>2</v>
      </c>
      <c r="D135" s="118">
        <f>K135</f>
        <v>140</v>
      </c>
      <c r="E135" s="132"/>
      <c r="F135" s="132"/>
      <c r="G135" s="132"/>
      <c r="H135" s="132"/>
      <c r="I135" s="132"/>
      <c r="J135" s="132"/>
      <c r="K135" s="132">
        <v>140</v>
      </c>
      <c r="L135" s="49">
        <v>0</v>
      </c>
    </row>
    <row r="136" spans="1:12" ht="31.5">
      <c r="A136" s="2"/>
      <c r="B136" s="4" t="s">
        <v>107</v>
      </c>
      <c r="C136" s="3"/>
      <c r="D136" s="119">
        <f>SUM(D133:D135)</f>
        <v>364</v>
      </c>
      <c r="E136" s="132"/>
      <c r="F136" s="132"/>
      <c r="G136" s="132"/>
      <c r="H136" s="132"/>
      <c r="I136" s="132"/>
      <c r="J136" s="132"/>
      <c r="K136" s="132"/>
      <c r="L136" s="119">
        <f>SUM(L133:L135)</f>
        <v>223.1</v>
      </c>
    </row>
    <row r="137" spans="1:12" ht="15.75">
      <c r="A137" s="2" t="s">
        <v>88</v>
      </c>
      <c r="B137" s="3" t="s">
        <v>31</v>
      </c>
      <c r="C137" s="3" t="s">
        <v>306</v>
      </c>
      <c r="D137" s="118">
        <v>250</v>
      </c>
      <c r="E137" s="132"/>
      <c r="F137" s="132"/>
      <c r="G137" s="132"/>
      <c r="H137" s="132"/>
      <c r="I137" s="132"/>
      <c r="J137" s="132"/>
      <c r="K137" s="132"/>
      <c r="L137" s="49">
        <v>250</v>
      </c>
    </row>
    <row r="138" spans="1:12" ht="31.5">
      <c r="A138" s="2"/>
      <c r="B138" s="3"/>
      <c r="C138" s="3" t="s">
        <v>32</v>
      </c>
      <c r="D138" s="118">
        <v>16</v>
      </c>
      <c r="E138" s="132"/>
      <c r="F138" s="132"/>
      <c r="G138" s="132"/>
      <c r="H138" s="132"/>
      <c r="I138" s="132"/>
      <c r="J138" s="132"/>
      <c r="K138" s="132"/>
      <c r="L138" s="49">
        <v>16</v>
      </c>
    </row>
    <row r="139" spans="1:12" ht="31.5">
      <c r="A139" s="2"/>
      <c r="B139" s="3"/>
      <c r="C139" s="3" t="s">
        <v>33</v>
      </c>
      <c r="D139" s="118">
        <v>50</v>
      </c>
      <c r="E139" s="132"/>
      <c r="F139" s="132"/>
      <c r="G139" s="132"/>
      <c r="H139" s="132"/>
      <c r="I139" s="132"/>
      <c r="J139" s="132"/>
      <c r="K139" s="132"/>
      <c r="L139" s="49">
        <v>50</v>
      </c>
    </row>
    <row r="140" spans="1:12" ht="31.5">
      <c r="A140" s="2"/>
      <c r="B140" s="3"/>
      <c r="C140" s="3" t="s">
        <v>34</v>
      </c>
      <c r="D140" s="118">
        <v>50</v>
      </c>
      <c r="E140" s="132"/>
      <c r="F140" s="132"/>
      <c r="G140" s="132"/>
      <c r="H140" s="132"/>
      <c r="I140" s="132"/>
      <c r="J140" s="132"/>
      <c r="K140" s="132"/>
      <c r="L140" s="49">
        <v>50</v>
      </c>
    </row>
    <row r="141" spans="1:12" ht="31.5">
      <c r="A141" s="2"/>
      <c r="B141" s="3"/>
      <c r="C141" s="3" t="s">
        <v>35</v>
      </c>
      <c r="D141" s="118">
        <v>30</v>
      </c>
      <c r="E141" s="132"/>
      <c r="F141" s="132"/>
      <c r="G141" s="132"/>
      <c r="H141" s="132"/>
      <c r="I141" s="132"/>
      <c r="J141" s="132"/>
      <c r="K141" s="132"/>
      <c r="L141" s="49">
        <v>21.2</v>
      </c>
    </row>
    <row r="142" spans="1:12" ht="47.25">
      <c r="A142" s="2" t="s">
        <v>89</v>
      </c>
      <c r="B142" s="3" t="s">
        <v>36</v>
      </c>
      <c r="C142" s="3" t="s">
        <v>170</v>
      </c>
      <c r="D142" s="118">
        <v>150</v>
      </c>
      <c r="E142" s="132"/>
      <c r="F142" s="132"/>
      <c r="G142" s="132"/>
      <c r="H142" s="132"/>
      <c r="I142" s="132"/>
      <c r="J142" s="132"/>
      <c r="K142" s="132"/>
      <c r="L142" s="49">
        <v>150</v>
      </c>
    </row>
    <row r="143" spans="1:12" ht="15.75" customHeight="1">
      <c r="A143" s="2"/>
      <c r="B143" s="3"/>
      <c r="C143" s="3" t="s">
        <v>37</v>
      </c>
      <c r="D143" s="118">
        <v>200</v>
      </c>
      <c r="E143" s="132"/>
      <c r="F143" s="132"/>
      <c r="G143" s="132"/>
      <c r="H143" s="132"/>
      <c r="I143" s="132"/>
      <c r="J143" s="132"/>
      <c r="K143" s="132"/>
      <c r="L143" s="49">
        <v>200</v>
      </c>
    </row>
    <row r="144" spans="1:12" ht="15.75" customHeight="1">
      <c r="A144" s="2"/>
      <c r="B144" s="3"/>
      <c r="C144" s="3" t="s">
        <v>38</v>
      </c>
      <c r="D144" s="118">
        <v>200</v>
      </c>
      <c r="E144" s="132"/>
      <c r="F144" s="132"/>
      <c r="G144" s="132"/>
      <c r="H144" s="132"/>
      <c r="I144" s="132"/>
      <c r="J144" s="132"/>
      <c r="K144" s="132"/>
      <c r="L144" s="49">
        <v>200</v>
      </c>
    </row>
    <row r="145" spans="1:12" ht="31.5">
      <c r="A145" s="2"/>
      <c r="B145" s="3"/>
      <c r="C145" s="3" t="s">
        <v>39</v>
      </c>
      <c r="D145" s="118">
        <v>100</v>
      </c>
      <c r="E145" s="132"/>
      <c r="F145" s="132"/>
      <c r="G145" s="132"/>
      <c r="H145" s="132"/>
      <c r="I145" s="132"/>
      <c r="J145" s="132"/>
      <c r="K145" s="132"/>
      <c r="L145" s="49">
        <v>30</v>
      </c>
    </row>
    <row r="146" spans="1:12" ht="46.5" customHeight="1">
      <c r="A146" s="2"/>
      <c r="B146" s="3"/>
      <c r="C146" s="3" t="s">
        <v>400</v>
      </c>
      <c r="D146" s="118">
        <f>G146</f>
        <v>50</v>
      </c>
      <c r="E146" s="132"/>
      <c r="F146" s="132"/>
      <c r="G146" s="132">
        <v>50</v>
      </c>
      <c r="H146" s="132"/>
      <c r="I146" s="132"/>
      <c r="J146" s="132"/>
      <c r="K146" s="132"/>
      <c r="L146" s="49">
        <v>50</v>
      </c>
    </row>
    <row r="147" spans="1:12" ht="47.25">
      <c r="A147" s="2" t="s">
        <v>90</v>
      </c>
      <c r="B147" s="3" t="s">
        <v>40</v>
      </c>
      <c r="C147" s="3" t="s">
        <v>452</v>
      </c>
      <c r="D147" s="118">
        <v>70</v>
      </c>
      <c r="E147" s="132"/>
      <c r="F147" s="132"/>
      <c r="G147" s="132"/>
      <c r="H147" s="132"/>
      <c r="I147" s="132"/>
      <c r="J147" s="132"/>
      <c r="K147" s="132"/>
      <c r="L147" s="49">
        <v>70</v>
      </c>
    </row>
    <row r="148" spans="1:12" ht="47.25">
      <c r="A148" s="2"/>
      <c r="B148" s="3"/>
      <c r="C148" s="3" t="s">
        <v>170</v>
      </c>
      <c r="D148" s="118">
        <v>250</v>
      </c>
      <c r="E148" s="132"/>
      <c r="F148" s="132"/>
      <c r="G148" s="132"/>
      <c r="H148" s="132"/>
      <c r="I148" s="132"/>
      <c r="J148" s="132"/>
      <c r="K148" s="132"/>
      <c r="L148" s="42">
        <v>248.8</v>
      </c>
    </row>
    <row r="149" spans="1:12" ht="31.5">
      <c r="A149" s="2"/>
      <c r="B149" s="3"/>
      <c r="C149" s="3" t="s">
        <v>453</v>
      </c>
      <c r="D149" s="118">
        <f>90+I149</f>
        <v>57</v>
      </c>
      <c r="E149" s="132"/>
      <c r="F149" s="132"/>
      <c r="G149" s="132"/>
      <c r="H149" s="132"/>
      <c r="I149" s="132">
        <v>-33</v>
      </c>
      <c r="J149" s="132"/>
      <c r="K149" s="132"/>
      <c r="L149" s="49">
        <v>57</v>
      </c>
    </row>
    <row r="150" spans="1:12" ht="31.5">
      <c r="A150" s="2" t="s">
        <v>91</v>
      </c>
      <c r="B150" s="3" t="s">
        <v>43</v>
      </c>
      <c r="C150" s="3" t="s">
        <v>44</v>
      </c>
      <c r="D150" s="118">
        <v>45</v>
      </c>
      <c r="E150" s="132"/>
      <c r="F150" s="132"/>
      <c r="G150" s="132"/>
      <c r="H150" s="132"/>
      <c r="I150" s="132"/>
      <c r="J150" s="132"/>
      <c r="K150" s="132"/>
      <c r="L150" s="49">
        <v>44.5</v>
      </c>
    </row>
    <row r="151" spans="1:12" ht="15.75">
      <c r="A151" s="2"/>
      <c r="B151" s="3"/>
      <c r="C151" s="3" t="s">
        <v>45</v>
      </c>
      <c r="D151" s="118">
        <v>90</v>
      </c>
      <c r="E151" s="132"/>
      <c r="F151" s="132"/>
      <c r="G151" s="132"/>
      <c r="H151" s="132"/>
      <c r="I151" s="132"/>
      <c r="J151" s="132"/>
      <c r="K151" s="132"/>
      <c r="L151" s="49">
        <v>90</v>
      </c>
    </row>
    <row r="152" spans="1:12" ht="31.5">
      <c r="A152" s="2" t="s">
        <v>92</v>
      </c>
      <c r="B152" s="74" t="s">
        <v>48</v>
      </c>
      <c r="C152" s="3" t="s">
        <v>49</v>
      </c>
      <c r="D152" s="118">
        <f>H152</f>
        <v>30</v>
      </c>
      <c r="E152" s="132"/>
      <c r="F152" s="132"/>
      <c r="G152" s="132"/>
      <c r="H152" s="132">
        <v>30</v>
      </c>
      <c r="I152" s="132"/>
      <c r="J152" s="132"/>
      <c r="K152" s="132"/>
      <c r="L152" s="49">
        <v>29.1</v>
      </c>
    </row>
    <row r="153" spans="1:12" ht="31.5">
      <c r="A153" s="2"/>
      <c r="B153" s="74"/>
      <c r="C153" s="3" t="s">
        <v>50</v>
      </c>
      <c r="D153" s="118">
        <f>H153</f>
        <v>20</v>
      </c>
      <c r="E153" s="132"/>
      <c r="F153" s="132"/>
      <c r="G153" s="132"/>
      <c r="H153" s="132">
        <v>20</v>
      </c>
      <c r="I153" s="132"/>
      <c r="J153" s="132"/>
      <c r="K153" s="132"/>
      <c r="L153" s="49">
        <v>0</v>
      </c>
    </row>
    <row r="154" spans="1:12" ht="15.75">
      <c r="A154" s="2"/>
      <c r="B154" s="74"/>
      <c r="C154" s="3" t="s">
        <v>45</v>
      </c>
      <c r="D154" s="118">
        <f>H154</f>
        <v>40</v>
      </c>
      <c r="E154" s="132"/>
      <c r="F154" s="132"/>
      <c r="G154" s="132"/>
      <c r="H154" s="132">
        <v>40</v>
      </c>
      <c r="I154" s="132"/>
      <c r="J154" s="132"/>
      <c r="K154" s="132"/>
      <c r="L154" s="49">
        <v>5.2</v>
      </c>
    </row>
    <row r="155" spans="1:12" ht="16.5" customHeight="1">
      <c r="A155" s="2" t="s">
        <v>93</v>
      </c>
      <c r="B155" s="205" t="s">
        <v>307</v>
      </c>
      <c r="C155" s="205"/>
      <c r="D155" s="118">
        <v>260</v>
      </c>
      <c r="E155" s="132"/>
      <c r="F155" s="132"/>
      <c r="G155" s="132"/>
      <c r="H155" s="132"/>
      <c r="I155" s="132"/>
      <c r="J155" s="132"/>
      <c r="K155" s="132"/>
      <c r="L155" s="49">
        <v>260</v>
      </c>
    </row>
    <row r="156" spans="1:12" ht="31.5">
      <c r="A156" s="2"/>
      <c r="B156" s="4" t="s">
        <v>106</v>
      </c>
      <c r="C156" s="3"/>
      <c r="D156" s="119">
        <f>SUM(D137:D155)</f>
        <v>1958</v>
      </c>
      <c r="E156" s="132"/>
      <c r="F156" s="132"/>
      <c r="G156" s="132"/>
      <c r="H156" s="132"/>
      <c r="I156" s="132"/>
      <c r="J156" s="132"/>
      <c r="K156" s="132"/>
      <c r="L156" s="119">
        <f>SUM(L137:L155)</f>
        <v>1821.8</v>
      </c>
    </row>
    <row r="157" spans="1:12" ht="47.25">
      <c r="A157" s="2" t="s">
        <v>94</v>
      </c>
      <c r="B157" s="3" t="s">
        <v>46</v>
      </c>
      <c r="C157" s="3" t="s">
        <v>47</v>
      </c>
      <c r="D157" s="118">
        <f>100+I157</f>
        <v>82</v>
      </c>
      <c r="E157" s="132"/>
      <c r="F157" s="132"/>
      <c r="G157" s="132"/>
      <c r="H157" s="132"/>
      <c r="I157" s="132">
        <v>-18</v>
      </c>
      <c r="J157" s="132"/>
      <c r="K157" s="132"/>
      <c r="L157" s="42">
        <v>81.1</v>
      </c>
    </row>
    <row r="158" spans="1:12" ht="31.5" customHeight="1" hidden="1">
      <c r="A158" s="2" t="s">
        <v>94</v>
      </c>
      <c r="B158" s="74" t="s">
        <v>48</v>
      </c>
      <c r="C158" s="3" t="s">
        <v>49</v>
      </c>
      <c r="D158" s="118">
        <f>30+H158</f>
        <v>0</v>
      </c>
      <c r="E158" s="132"/>
      <c r="F158" s="132"/>
      <c r="G158" s="132"/>
      <c r="H158" s="132">
        <v>-30</v>
      </c>
      <c r="I158" s="132"/>
      <c r="J158" s="132"/>
      <c r="K158" s="132"/>
      <c r="L158" s="42"/>
    </row>
    <row r="159" spans="1:12" ht="15.75" customHeight="1" hidden="1">
      <c r="A159" s="2"/>
      <c r="B159" s="74"/>
      <c r="C159" s="3" t="s">
        <v>50</v>
      </c>
      <c r="D159" s="118">
        <f>20+H159</f>
        <v>0</v>
      </c>
      <c r="E159" s="132"/>
      <c r="F159" s="132"/>
      <c r="G159" s="132"/>
      <c r="H159" s="132">
        <v>-20</v>
      </c>
      <c r="I159" s="132"/>
      <c r="J159" s="132"/>
      <c r="K159" s="132"/>
      <c r="L159" s="42"/>
    </row>
    <row r="160" spans="1:12" ht="15" customHeight="1" hidden="1">
      <c r="A160" s="2"/>
      <c r="B160" s="74"/>
      <c r="C160" s="3" t="s">
        <v>45</v>
      </c>
      <c r="D160" s="118">
        <f>40+H160</f>
        <v>0</v>
      </c>
      <c r="E160" s="132"/>
      <c r="F160" s="132"/>
      <c r="G160" s="132"/>
      <c r="H160" s="132">
        <v>-40</v>
      </c>
      <c r="I160" s="132"/>
      <c r="J160" s="132"/>
      <c r="K160" s="132"/>
      <c r="L160" s="42"/>
    </row>
    <row r="161" spans="1:12" ht="45" customHeight="1" hidden="1">
      <c r="A161" s="2" t="s">
        <v>95</v>
      </c>
      <c r="B161" s="3" t="s">
        <v>51</v>
      </c>
      <c r="C161" s="3" t="s">
        <v>52</v>
      </c>
      <c r="D161" s="118">
        <f>50+I161</f>
        <v>0</v>
      </c>
      <c r="E161" s="132"/>
      <c r="F161" s="132"/>
      <c r="G161" s="132"/>
      <c r="H161" s="132"/>
      <c r="I161" s="132">
        <v>-50</v>
      </c>
      <c r="J161" s="132"/>
      <c r="K161" s="132"/>
      <c r="L161" s="42"/>
    </row>
    <row r="162" spans="1:12" ht="31.5">
      <c r="A162" s="2"/>
      <c r="B162" s="4" t="s">
        <v>108</v>
      </c>
      <c r="C162" s="3"/>
      <c r="D162" s="119">
        <f>SUM(D157:D161)</f>
        <v>82</v>
      </c>
      <c r="E162" s="132"/>
      <c r="F162" s="132"/>
      <c r="G162" s="132"/>
      <c r="H162" s="132"/>
      <c r="I162" s="132"/>
      <c r="J162" s="132"/>
      <c r="K162" s="132"/>
      <c r="L162" s="119">
        <f>SUM(L157:L161)</f>
        <v>81.1</v>
      </c>
    </row>
    <row r="163" spans="1:12" ht="31.5">
      <c r="A163" s="2" t="s">
        <v>95</v>
      </c>
      <c r="B163" s="3" t="s">
        <v>53</v>
      </c>
      <c r="C163" s="3" t="s">
        <v>54</v>
      </c>
      <c r="D163" s="118">
        <v>40</v>
      </c>
      <c r="E163" s="132"/>
      <c r="F163" s="132"/>
      <c r="G163" s="132"/>
      <c r="H163" s="132"/>
      <c r="I163" s="132"/>
      <c r="J163" s="132"/>
      <c r="K163" s="132"/>
      <c r="L163" s="49">
        <v>40</v>
      </c>
    </row>
    <row r="164" spans="1:12" ht="15.75">
      <c r="A164" s="2"/>
      <c r="B164" s="3"/>
      <c r="C164" s="3" t="s">
        <v>49</v>
      </c>
      <c r="D164" s="118">
        <v>50</v>
      </c>
      <c r="E164" s="132"/>
      <c r="F164" s="132"/>
      <c r="G164" s="132"/>
      <c r="H164" s="132"/>
      <c r="I164" s="132"/>
      <c r="J164" s="132"/>
      <c r="K164" s="132"/>
      <c r="L164" s="49">
        <v>50</v>
      </c>
    </row>
    <row r="165" spans="1:12" ht="15.75">
      <c r="A165" s="2"/>
      <c r="B165" s="3"/>
      <c r="C165" s="3" t="s">
        <v>45</v>
      </c>
      <c r="D165" s="118">
        <v>50</v>
      </c>
      <c r="E165" s="132"/>
      <c r="F165" s="132"/>
      <c r="G165" s="132"/>
      <c r="H165" s="132"/>
      <c r="I165" s="132"/>
      <c r="J165" s="132"/>
      <c r="K165" s="132"/>
      <c r="L165" s="49">
        <v>50</v>
      </c>
    </row>
    <row r="166" spans="1:12" ht="31.5">
      <c r="A166" s="2"/>
      <c r="B166" s="4" t="s">
        <v>109</v>
      </c>
      <c r="C166" s="3"/>
      <c r="D166" s="119">
        <f>SUM(D163:D165)</f>
        <v>140</v>
      </c>
      <c r="E166" s="132"/>
      <c r="F166" s="132"/>
      <c r="G166" s="132"/>
      <c r="H166" s="132"/>
      <c r="I166" s="132"/>
      <c r="J166" s="132"/>
      <c r="K166" s="132"/>
      <c r="L166" s="119">
        <f>SUM(L163:L165)</f>
        <v>140</v>
      </c>
    </row>
    <row r="167" spans="1:12" ht="29.25" customHeight="1">
      <c r="A167" s="2" t="s">
        <v>96</v>
      </c>
      <c r="B167" s="3" t="s">
        <v>55</v>
      </c>
      <c r="C167" s="3" t="s">
        <v>56</v>
      </c>
      <c r="D167" s="118">
        <f>50+I167</f>
        <v>9</v>
      </c>
      <c r="E167" s="132"/>
      <c r="F167" s="132"/>
      <c r="G167" s="132"/>
      <c r="H167" s="132"/>
      <c r="I167" s="132">
        <v>-41</v>
      </c>
      <c r="J167" s="132"/>
      <c r="K167" s="132"/>
      <c r="L167" s="49">
        <v>0</v>
      </c>
    </row>
    <row r="168" spans="1:12" ht="15.75">
      <c r="A168" s="2"/>
      <c r="B168" s="3"/>
      <c r="C168" s="3" t="s">
        <v>21</v>
      </c>
      <c r="D168" s="118">
        <f>140+I168</f>
        <v>181</v>
      </c>
      <c r="E168" s="132"/>
      <c r="F168" s="132"/>
      <c r="G168" s="132"/>
      <c r="H168" s="132"/>
      <c r="I168" s="132">
        <v>41</v>
      </c>
      <c r="J168" s="132"/>
      <c r="K168" s="132"/>
      <c r="L168" s="49">
        <v>160</v>
      </c>
    </row>
    <row r="169" spans="1:12" ht="31.5">
      <c r="A169" s="2"/>
      <c r="B169" s="4" t="s">
        <v>110</v>
      </c>
      <c r="C169" s="3"/>
      <c r="D169" s="119">
        <f>SUM(D167:D168)</f>
        <v>190</v>
      </c>
      <c r="E169" s="132"/>
      <c r="F169" s="132"/>
      <c r="G169" s="132"/>
      <c r="H169" s="132"/>
      <c r="I169" s="132"/>
      <c r="J169" s="132"/>
      <c r="K169" s="132"/>
      <c r="L169" s="119">
        <f>SUM(L167:L168)</f>
        <v>160</v>
      </c>
    </row>
    <row r="170" spans="1:12" ht="15.75" hidden="1">
      <c r="A170" s="2" t="s">
        <v>230</v>
      </c>
      <c r="B170" s="3" t="s">
        <v>57</v>
      </c>
      <c r="C170" s="3" t="s">
        <v>50</v>
      </c>
      <c r="D170" s="118">
        <f>60+J170</f>
        <v>0</v>
      </c>
      <c r="E170" s="132"/>
      <c r="F170" s="132"/>
      <c r="G170" s="132"/>
      <c r="H170" s="132"/>
      <c r="I170" s="132"/>
      <c r="J170" s="132">
        <v>-60</v>
      </c>
      <c r="K170" s="132"/>
      <c r="L170" s="132"/>
    </row>
    <row r="171" spans="1:12" ht="30" customHeight="1">
      <c r="A171" s="2" t="s">
        <v>97</v>
      </c>
      <c r="B171" s="3" t="s">
        <v>57</v>
      </c>
      <c r="C171" s="3" t="s">
        <v>58</v>
      </c>
      <c r="D171" s="118">
        <v>55</v>
      </c>
      <c r="E171" s="132"/>
      <c r="F171" s="132"/>
      <c r="G171" s="132"/>
      <c r="H171" s="132"/>
      <c r="I171" s="132"/>
      <c r="J171" s="132"/>
      <c r="K171" s="132"/>
      <c r="L171" s="49">
        <v>40</v>
      </c>
    </row>
    <row r="172" spans="1:12" ht="31.5">
      <c r="A172" s="2"/>
      <c r="B172" s="4" t="s">
        <v>111</v>
      </c>
      <c r="C172" s="3"/>
      <c r="D172" s="119">
        <f>SUM(D170:D171)</f>
        <v>55</v>
      </c>
      <c r="E172" s="132"/>
      <c r="F172" s="132"/>
      <c r="G172" s="132"/>
      <c r="H172" s="132"/>
      <c r="I172" s="132"/>
      <c r="J172" s="132"/>
      <c r="K172" s="132"/>
      <c r="L172" s="119">
        <f>SUM(L170:L171)</f>
        <v>40</v>
      </c>
    </row>
    <row r="173" spans="1:12" ht="63">
      <c r="A173" s="2" t="s">
        <v>230</v>
      </c>
      <c r="B173" s="3" t="s">
        <v>36</v>
      </c>
      <c r="C173" s="3" t="s">
        <v>401</v>
      </c>
      <c r="D173" s="118">
        <f>G173</f>
        <v>25</v>
      </c>
      <c r="E173" s="132"/>
      <c r="F173" s="132"/>
      <c r="G173" s="132">
        <v>25</v>
      </c>
      <c r="H173" s="132"/>
      <c r="I173" s="132"/>
      <c r="J173" s="132"/>
      <c r="K173" s="132"/>
      <c r="L173" s="49">
        <v>25</v>
      </c>
    </row>
    <row r="174" spans="1:12" ht="31.5">
      <c r="A174" s="2"/>
      <c r="B174" s="4" t="s">
        <v>403</v>
      </c>
      <c r="C174" s="3"/>
      <c r="D174" s="119">
        <f>D173</f>
        <v>25</v>
      </c>
      <c r="E174" s="132"/>
      <c r="F174" s="132"/>
      <c r="G174" s="132"/>
      <c r="H174" s="132"/>
      <c r="I174" s="132"/>
      <c r="J174" s="132"/>
      <c r="K174" s="132"/>
      <c r="L174" s="119">
        <f>L173</f>
        <v>25</v>
      </c>
    </row>
    <row r="175" spans="1:12" ht="15.75">
      <c r="A175" s="174" t="s">
        <v>59</v>
      </c>
      <c r="B175" s="4"/>
      <c r="C175" s="3"/>
      <c r="D175" s="119">
        <f>D172+D169+D166+D162+D156+D136+D174</f>
        <v>2814</v>
      </c>
      <c r="E175" s="132"/>
      <c r="F175" s="132"/>
      <c r="G175" s="132"/>
      <c r="H175" s="132"/>
      <c r="I175" s="132">
        <f>SUM(I133:I174)</f>
        <v>-101</v>
      </c>
      <c r="J175" s="132">
        <f>SUM(J133:J174)</f>
        <v>-60</v>
      </c>
      <c r="K175" s="132">
        <f>SUM(K133:K174)</f>
        <v>140</v>
      </c>
      <c r="L175" s="119">
        <f>L172+L169+L166+L162+L156+L136+L174</f>
        <v>2491</v>
      </c>
    </row>
    <row r="176" spans="1:12" ht="15.75">
      <c r="A176" s="2"/>
      <c r="B176" s="4"/>
      <c r="C176" s="3"/>
      <c r="D176" s="119"/>
      <c r="E176" s="132"/>
      <c r="F176" s="132"/>
      <c r="G176" s="132"/>
      <c r="H176" s="132"/>
      <c r="I176" s="132"/>
      <c r="J176" s="132"/>
      <c r="K176" s="132"/>
      <c r="L176" s="49"/>
    </row>
    <row r="177" spans="1:12" ht="15.75" customHeight="1">
      <c r="A177" s="2" t="s">
        <v>166</v>
      </c>
      <c r="B177" s="204" t="s">
        <v>211</v>
      </c>
      <c r="C177" s="204"/>
      <c r="D177" s="119"/>
      <c r="E177" s="132"/>
      <c r="F177" s="132"/>
      <c r="G177" s="132"/>
      <c r="H177" s="132"/>
      <c r="I177" s="132"/>
      <c r="J177" s="132"/>
      <c r="K177" s="132"/>
      <c r="L177" s="49"/>
    </row>
    <row r="178" spans="1:12" ht="15.75" customHeight="1" hidden="1">
      <c r="A178" s="2" t="s">
        <v>167</v>
      </c>
      <c r="B178" s="3" t="s">
        <v>212</v>
      </c>
      <c r="C178" s="3" t="s">
        <v>213</v>
      </c>
      <c r="D178" s="118">
        <f>15+41.6+H178</f>
        <v>0</v>
      </c>
      <c r="E178" s="132"/>
      <c r="F178" s="132"/>
      <c r="G178" s="132"/>
      <c r="H178" s="132">
        <v>-56.6</v>
      </c>
      <c r="I178" s="132"/>
      <c r="J178" s="132"/>
      <c r="K178" s="132"/>
      <c r="L178" s="49"/>
    </row>
    <row r="179" spans="1:12" ht="63" customHeight="1" hidden="1">
      <c r="A179" s="2"/>
      <c r="B179" s="3"/>
      <c r="C179" s="3" t="s">
        <v>404</v>
      </c>
      <c r="D179" s="118">
        <f>H179</f>
        <v>0</v>
      </c>
      <c r="E179" s="132"/>
      <c r="F179" s="132"/>
      <c r="G179" s="132"/>
      <c r="H179" s="132">
        <f>173-173</f>
        <v>0</v>
      </c>
      <c r="I179" s="132"/>
      <c r="J179" s="132"/>
      <c r="K179" s="132"/>
      <c r="L179" s="49"/>
    </row>
    <row r="180" spans="1:12" ht="15.75" customHeight="1" hidden="1">
      <c r="A180" s="2"/>
      <c r="B180" s="4" t="s">
        <v>216</v>
      </c>
      <c r="C180" s="3"/>
      <c r="D180" s="119">
        <f>SUM(D178+D179)</f>
        <v>0</v>
      </c>
      <c r="E180" s="132"/>
      <c r="F180" s="132"/>
      <c r="G180" s="132"/>
      <c r="H180" s="132"/>
      <c r="I180" s="132"/>
      <c r="J180" s="132"/>
      <c r="K180" s="132"/>
      <c r="L180" s="49"/>
    </row>
    <row r="181" spans="1:12" ht="29.25" customHeight="1">
      <c r="A181" s="2" t="s">
        <v>167</v>
      </c>
      <c r="B181" s="3" t="s">
        <v>214</v>
      </c>
      <c r="C181" s="3" t="s">
        <v>454</v>
      </c>
      <c r="D181" s="118">
        <v>70</v>
      </c>
      <c r="E181" s="132"/>
      <c r="F181" s="132"/>
      <c r="G181" s="132"/>
      <c r="H181" s="132"/>
      <c r="I181" s="132"/>
      <c r="J181" s="132"/>
      <c r="K181" s="132"/>
      <c r="L181" s="49">
        <v>70</v>
      </c>
    </row>
    <row r="182" spans="1:12" ht="31.5">
      <c r="A182" s="2"/>
      <c r="B182" s="4" t="s">
        <v>217</v>
      </c>
      <c r="C182" s="3"/>
      <c r="D182" s="119">
        <f>SUM(D181)</f>
        <v>70</v>
      </c>
      <c r="E182" s="132"/>
      <c r="F182" s="132"/>
      <c r="G182" s="132"/>
      <c r="H182" s="132"/>
      <c r="I182" s="132"/>
      <c r="J182" s="132"/>
      <c r="K182" s="132"/>
      <c r="L182" s="119">
        <f>SUM(L181)</f>
        <v>70</v>
      </c>
    </row>
    <row r="183" spans="1:12" ht="15.75">
      <c r="A183" s="206" t="s">
        <v>218</v>
      </c>
      <c r="B183" s="206"/>
      <c r="C183" s="206"/>
      <c r="D183" s="119">
        <f>D182+D180</f>
        <v>70</v>
      </c>
      <c r="E183" s="132"/>
      <c r="F183" s="132"/>
      <c r="G183" s="132"/>
      <c r="H183" s="132"/>
      <c r="I183" s="132"/>
      <c r="J183" s="132"/>
      <c r="K183" s="132"/>
      <c r="L183" s="119">
        <f>L182+L180</f>
        <v>70</v>
      </c>
    </row>
    <row r="184" spans="1:12" ht="31.5">
      <c r="A184" s="186"/>
      <c r="B184" s="4" t="s">
        <v>169</v>
      </c>
      <c r="C184" s="3"/>
      <c r="D184" s="119">
        <f>D175+D130+D183</f>
        <v>18577.699999999997</v>
      </c>
      <c r="E184" s="132"/>
      <c r="F184" s="6">
        <f>F175+F130+F183</f>
        <v>-100</v>
      </c>
      <c r="G184" s="132"/>
      <c r="H184" s="132"/>
      <c r="I184" s="119">
        <f>I175+I130+I183</f>
        <v>-424.4</v>
      </c>
      <c r="J184" s="119">
        <f>J175+J130+J183</f>
        <v>3940</v>
      </c>
      <c r="K184" s="134">
        <f>K183+K175+K130</f>
        <v>140</v>
      </c>
      <c r="L184" s="119">
        <f>L175+L130+L183</f>
        <v>16566.199999999997</v>
      </c>
    </row>
    <row r="185" spans="1:12" ht="15.75">
      <c r="A185" s="2"/>
      <c r="B185" s="4"/>
      <c r="C185" s="150"/>
      <c r="D185" s="119"/>
      <c r="E185" s="132"/>
      <c r="F185" s="132"/>
      <c r="G185" s="132"/>
      <c r="H185" s="132"/>
      <c r="I185" s="132"/>
      <c r="J185" s="132"/>
      <c r="K185" s="132"/>
      <c r="L185" s="49"/>
    </row>
    <row r="186" spans="1:13" ht="15.75">
      <c r="A186" s="66" t="s">
        <v>223</v>
      </c>
      <c r="B186" s="190" t="s">
        <v>113</v>
      </c>
      <c r="C186" s="207"/>
      <c r="D186" s="120">
        <f>D187+D240+D245+D309+D310+D352</f>
        <v>69882.45</v>
      </c>
      <c r="E186" s="166"/>
      <c r="F186" s="132">
        <f>SUM(F187:F359)</f>
        <v>0</v>
      </c>
      <c r="G186" s="132"/>
      <c r="H186" s="132">
        <f>SUM(H187:H359)</f>
        <v>-469.1</v>
      </c>
      <c r="I186" s="132">
        <f>SUM(I187:I359)</f>
        <v>8169.599999999999</v>
      </c>
      <c r="J186" s="132">
        <f>SUM(J187:J359)</f>
        <v>527.0000000000001</v>
      </c>
      <c r="K186" s="132">
        <f>SUM(K187:K359)</f>
        <v>3637.1000000000004</v>
      </c>
      <c r="L186" s="120">
        <f>L187+L240+L245+L309+L310+L352</f>
        <v>64404.40000000001</v>
      </c>
      <c r="M186" s="128">
        <v>64404</v>
      </c>
    </row>
    <row r="187" spans="1:12" s="131" customFormat="1" ht="29.25" customHeight="1">
      <c r="A187" s="66" t="s">
        <v>224</v>
      </c>
      <c r="B187" s="190" t="s">
        <v>349</v>
      </c>
      <c r="C187" s="191"/>
      <c r="D187" s="120">
        <f>D188+D234</f>
        <v>5992.200000000001</v>
      </c>
      <c r="E187" s="166"/>
      <c r="F187" s="135"/>
      <c r="G187" s="135"/>
      <c r="H187" s="135"/>
      <c r="I187" s="135"/>
      <c r="J187" s="135"/>
      <c r="K187" s="135"/>
      <c r="L187" s="120">
        <f>L188+L234</f>
        <v>4972.3</v>
      </c>
    </row>
    <row r="188" spans="1:12" ht="30" customHeight="1">
      <c r="A188" s="69"/>
      <c r="B188" s="196" t="s">
        <v>350</v>
      </c>
      <c r="C188" s="197"/>
      <c r="D188" s="121">
        <f>D189+D192+D204+D211+D218+D226</f>
        <v>4945.900000000001</v>
      </c>
      <c r="E188" s="167"/>
      <c r="F188" s="132"/>
      <c r="G188" s="132"/>
      <c r="H188" s="132"/>
      <c r="I188" s="132"/>
      <c r="J188" s="132"/>
      <c r="K188" s="132"/>
      <c r="L188" s="121">
        <f>L189+L192+L204+L211+L218+L226</f>
        <v>3968.7000000000003</v>
      </c>
    </row>
    <row r="189" spans="1:12" ht="30.75" customHeight="1">
      <c r="A189" s="69"/>
      <c r="B189" s="25" t="s">
        <v>313</v>
      </c>
      <c r="C189" s="150" t="s">
        <v>115</v>
      </c>
      <c r="D189" s="121">
        <f>D190+D191</f>
        <v>459.9</v>
      </c>
      <c r="E189" s="166"/>
      <c r="F189" s="132"/>
      <c r="G189" s="132"/>
      <c r="H189" s="132"/>
      <c r="I189" s="132"/>
      <c r="J189" s="132"/>
      <c r="K189" s="132"/>
      <c r="L189" s="121">
        <f>L190+L191</f>
        <v>292</v>
      </c>
    </row>
    <row r="190" spans="1:12" ht="15.75">
      <c r="A190" s="69"/>
      <c r="B190" s="25" t="s">
        <v>311</v>
      </c>
      <c r="C190" s="149"/>
      <c r="D190" s="121">
        <f>256.8+I190</f>
        <v>254.70000000000002</v>
      </c>
      <c r="E190" s="166"/>
      <c r="F190" s="132"/>
      <c r="G190" s="132"/>
      <c r="H190" s="132"/>
      <c r="I190" s="132">
        <v>-2.1</v>
      </c>
      <c r="J190" s="132"/>
      <c r="K190" s="132"/>
      <c r="L190" s="49">
        <v>251</v>
      </c>
    </row>
    <row r="191" spans="1:12" ht="15.75">
      <c r="A191" s="69"/>
      <c r="B191" s="25" t="s">
        <v>312</v>
      </c>
      <c r="C191" s="150"/>
      <c r="D191" s="121">
        <f>206+I191</f>
        <v>205.2</v>
      </c>
      <c r="E191" s="166"/>
      <c r="F191" s="132"/>
      <c r="G191" s="132"/>
      <c r="H191" s="132"/>
      <c r="I191" s="132">
        <v>-0.8</v>
      </c>
      <c r="J191" s="132"/>
      <c r="K191" s="132"/>
      <c r="L191" s="49">
        <v>41</v>
      </c>
    </row>
    <row r="192" spans="1:12" ht="29.25" customHeight="1">
      <c r="A192" s="69"/>
      <c r="B192" s="25" t="s">
        <v>474</v>
      </c>
      <c r="C192" s="150" t="s">
        <v>115</v>
      </c>
      <c r="D192" s="121">
        <f>SUM(D193:D203)</f>
        <v>628.5999999999999</v>
      </c>
      <c r="E192" s="166"/>
      <c r="F192" s="132"/>
      <c r="G192" s="132"/>
      <c r="H192" s="132"/>
      <c r="I192" s="132"/>
      <c r="J192" s="132"/>
      <c r="K192" s="132"/>
      <c r="L192" s="121">
        <f>SUM(L193:L203)</f>
        <v>620.5</v>
      </c>
    </row>
    <row r="193" spans="1:12" ht="15.75">
      <c r="A193" s="69"/>
      <c r="B193" s="25" t="s">
        <v>314</v>
      </c>
      <c r="C193" s="150"/>
      <c r="D193" s="121">
        <f>49+I193</f>
        <v>47.2</v>
      </c>
      <c r="E193" s="166"/>
      <c r="F193" s="132"/>
      <c r="G193" s="132"/>
      <c r="H193" s="132"/>
      <c r="I193" s="132">
        <v>-1.8</v>
      </c>
      <c r="J193" s="132"/>
      <c r="K193" s="132"/>
      <c r="L193" s="49">
        <v>47</v>
      </c>
    </row>
    <row r="194" spans="1:12" ht="15.75">
      <c r="A194" s="69"/>
      <c r="B194" s="25" t="s">
        <v>316</v>
      </c>
      <c r="C194" s="150"/>
      <c r="D194" s="121">
        <f>58+I194</f>
        <v>55.2</v>
      </c>
      <c r="E194" s="166"/>
      <c r="F194" s="132"/>
      <c r="G194" s="132"/>
      <c r="H194" s="132"/>
      <c r="I194" s="163">
        <v>-2.8</v>
      </c>
      <c r="J194" s="132"/>
      <c r="K194" s="132"/>
      <c r="L194" s="49">
        <v>55.2</v>
      </c>
    </row>
    <row r="195" spans="1:12" ht="15.75">
      <c r="A195" s="69"/>
      <c r="B195" s="25" t="s">
        <v>317</v>
      </c>
      <c r="C195" s="150"/>
      <c r="D195" s="121">
        <f>36+I195+K195</f>
        <v>35.3</v>
      </c>
      <c r="E195" s="166"/>
      <c r="F195" s="132"/>
      <c r="G195" s="132"/>
      <c r="H195" s="132"/>
      <c r="I195" s="163">
        <v>-1</v>
      </c>
      <c r="J195" s="132"/>
      <c r="K195" s="132">
        <v>0.3</v>
      </c>
      <c r="L195" s="49">
        <v>35.2</v>
      </c>
    </row>
    <row r="196" spans="1:12" ht="15.75">
      <c r="A196" s="69"/>
      <c r="B196" s="25" t="s">
        <v>318</v>
      </c>
      <c r="C196" s="150"/>
      <c r="D196" s="121">
        <f>252.6+I196</f>
        <v>202.6</v>
      </c>
      <c r="E196" s="166"/>
      <c r="F196" s="132"/>
      <c r="G196" s="132"/>
      <c r="H196" s="132"/>
      <c r="I196" s="163">
        <v>-50</v>
      </c>
      <c r="J196" s="132"/>
      <c r="K196" s="132"/>
      <c r="L196" s="49">
        <v>196.2</v>
      </c>
    </row>
    <row r="197" spans="1:12" ht="15.75">
      <c r="A197" s="69"/>
      <c r="B197" s="25" t="s">
        <v>319</v>
      </c>
      <c r="C197" s="150"/>
      <c r="D197" s="121">
        <f>36.5+I197</f>
        <v>35.5</v>
      </c>
      <c r="E197" s="166"/>
      <c r="F197" s="132"/>
      <c r="G197" s="132"/>
      <c r="H197" s="132"/>
      <c r="I197" s="163">
        <v>-1</v>
      </c>
      <c r="J197" s="132"/>
      <c r="K197" s="132"/>
      <c r="L197" s="49">
        <v>35.4</v>
      </c>
    </row>
    <row r="198" spans="1:12" ht="15.75">
      <c r="A198" s="69"/>
      <c r="B198" s="25" t="s">
        <v>393</v>
      </c>
      <c r="C198" s="150"/>
      <c r="D198" s="121">
        <f>40+I198</f>
        <v>39.5</v>
      </c>
      <c r="E198" s="166"/>
      <c r="F198" s="132"/>
      <c r="G198" s="132"/>
      <c r="H198" s="132"/>
      <c r="I198" s="163">
        <v>-0.5</v>
      </c>
      <c r="J198" s="132"/>
      <c r="K198" s="132"/>
      <c r="L198" s="49">
        <v>39.2</v>
      </c>
    </row>
    <row r="199" spans="1:12" ht="15.75">
      <c r="A199" s="69"/>
      <c r="B199" s="25" t="s">
        <v>320</v>
      </c>
      <c r="C199" s="150"/>
      <c r="D199" s="121">
        <f>64+I199</f>
        <v>61.4</v>
      </c>
      <c r="E199" s="166"/>
      <c r="F199" s="132"/>
      <c r="G199" s="132"/>
      <c r="H199" s="132"/>
      <c r="I199" s="163">
        <v>-2.6</v>
      </c>
      <c r="J199" s="132"/>
      <c r="K199" s="132"/>
      <c r="L199" s="49">
        <v>61.3</v>
      </c>
    </row>
    <row r="200" spans="1:12" ht="15.75">
      <c r="A200" s="69"/>
      <c r="B200" s="25" t="s">
        <v>321</v>
      </c>
      <c r="C200" s="150"/>
      <c r="D200" s="121">
        <f>43.2+I200</f>
        <v>40.800000000000004</v>
      </c>
      <c r="E200" s="166"/>
      <c r="F200" s="132"/>
      <c r="G200" s="132"/>
      <c r="H200" s="132"/>
      <c r="I200" s="163">
        <v>-2.4</v>
      </c>
      <c r="J200" s="132"/>
      <c r="K200" s="132"/>
      <c r="L200" s="49">
        <v>40</v>
      </c>
    </row>
    <row r="201" spans="1:12" ht="15.75">
      <c r="A201" s="69"/>
      <c r="B201" s="25" t="s">
        <v>322</v>
      </c>
      <c r="C201" s="150"/>
      <c r="D201" s="121">
        <f>30+I201+K201</f>
        <v>29.4</v>
      </c>
      <c r="E201" s="166"/>
      <c r="F201" s="132"/>
      <c r="G201" s="132"/>
      <c r="H201" s="132"/>
      <c r="I201" s="163">
        <v>-0.5</v>
      </c>
      <c r="J201" s="132"/>
      <c r="K201" s="132">
        <v>-0.1</v>
      </c>
      <c r="L201" s="49">
        <v>29.3</v>
      </c>
    </row>
    <row r="202" spans="1:12" ht="15.75">
      <c r="A202" s="69"/>
      <c r="B202" s="25" t="s">
        <v>323</v>
      </c>
      <c r="C202" s="150"/>
      <c r="D202" s="121">
        <f>50.6+I202+K202</f>
        <v>48</v>
      </c>
      <c r="E202" s="166"/>
      <c r="F202" s="132"/>
      <c r="G202" s="132"/>
      <c r="H202" s="132"/>
      <c r="I202" s="163">
        <v>-2.5</v>
      </c>
      <c r="J202" s="132"/>
      <c r="K202" s="132">
        <v>-0.1</v>
      </c>
      <c r="L202" s="49">
        <v>48</v>
      </c>
    </row>
    <row r="203" spans="1:12" ht="15.75">
      <c r="A203" s="69"/>
      <c r="B203" s="25" t="s">
        <v>183</v>
      </c>
      <c r="C203" s="150"/>
      <c r="D203" s="121">
        <f>34.3+I203+K203</f>
        <v>33.699999999999996</v>
      </c>
      <c r="E203" s="166"/>
      <c r="F203" s="132"/>
      <c r="G203" s="132"/>
      <c r="H203" s="132"/>
      <c r="I203" s="163">
        <v>-0.5</v>
      </c>
      <c r="J203" s="132"/>
      <c r="K203" s="132">
        <v>-0.1</v>
      </c>
      <c r="L203" s="49">
        <v>33.7</v>
      </c>
    </row>
    <row r="204" spans="1:12" ht="30" customHeight="1">
      <c r="A204" s="69"/>
      <c r="B204" s="25" t="s">
        <v>475</v>
      </c>
      <c r="C204" s="150" t="s">
        <v>115</v>
      </c>
      <c r="D204" s="121">
        <f>SUM(D205:D210)</f>
        <v>698.6</v>
      </c>
      <c r="E204" s="166"/>
      <c r="F204" s="132"/>
      <c r="G204" s="132"/>
      <c r="H204" s="132"/>
      <c r="I204" s="132"/>
      <c r="J204" s="132"/>
      <c r="K204" s="132"/>
      <c r="L204" s="121">
        <f>SUM(L205:L210)</f>
        <v>606.2</v>
      </c>
    </row>
    <row r="205" spans="1:12" ht="15.75">
      <c r="A205" s="69"/>
      <c r="B205" s="25" t="s">
        <v>324</v>
      </c>
      <c r="C205" s="150"/>
      <c r="D205" s="121">
        <f>126.6+I205</f>
        <v>125.1</v>
      </c>
      <c r="E205" s="166"/>
      <c r="F205" s="132"/>
      <c r="G205" s="132"/>
      <c r="H205" s="132"/>
      <c r="I205" s="163">
        <v>-1.5</v>
      </c>
      <c r="J205" s="132"/>
      <c r="K205" s="132"/>
      <c r="L205" s="49">
        <v>124.5</v>
      </c>
    </row>
    <row r="206" spans="1:12" ht="15.75">
      <c r="A206" s="69"/>
      <c r="B206" s="25" t="s">
        <v>325</v>
      </c>
      <c r="C206" s="150"/>
      <c r="D206" s="121">
        <f>36.6+I206</f>
        <v>36.1</v>
      </c>
      <c r="E206" s="166"/>
      <c r="F206" s="132"/>
      <c r="G206" s="132"/>
      <c r="H206" s="132"/>
      <c r="I206" s="163">
        <v>-0.5</v>
      </c>
      <c r="J206" s="132"/>
      <c r="K206" s="132"/>
      <c r="L206" s="49">
        <v>35.9</v>
      </c>
    </row>
    <row r="207" spans="1:12" ht="15.75">
      <c r="A207" s="69"/>
      <c r="B207" s="25" t="s">
        <v>326</v>
      </c>
      <c r="C207" s="150"/>
      <c r="D207" s="121">
        <f>100+I207</f>
        <v>95</v>
      </c>
      <c r="E207" s="166"/>
      <c r="F207" s="132"/>
      <c r="G207" s="132"/>
      <c r="H207" s="132"/>
      <c r="I207" s="163">
        <v>-5</v>
      </c>
      <c r="J207" s="132"/>
      <c r="K207" s="132"/>
      <c r="L207" s="49">
        <v>20.8</v>
      </c>
    </row>
    <row r="208" spans="1:12" ht="15.75">
      <c r="A208" s="69"/>
      <c r="B208" s="25" t="s">
        <v>327</v>
      </c>
      <c r="C208" s="150"/>
      <c r="D208" s="121">
        <f>136.8+I208</f>
        <v>125.60000000000001</v>
      </c>
      <c r="E208" s="166"/>
      <c r="F208" s="132"/>
      <c r="G208" s="132"/>
      <c r="H208" s="132"/>
      <c r="I208" s="163">
        <v>-11.2</v>
      </c>
      <c r="J208" s="132"/>
      <c r="K208" s="132"/>
      <c r="L208" s="49">
        <v>114.4</v>
      </c>
    </row>
    <row r="209" spans="1:12" ht="15.75">
      <c r="A209" s="69"/>
      <c r="B209" s="25" t="s">
        <v>328</v>
      </c>
      <c r="C209" s="150"/>
      <c r="D209" s="121">
        <f>210+I209</f>
        <v>209.7</v>
      </c>
      <c r="E209" s="166"/>
      <c r="F209" s="132"/>
      <c r="G209" s="132"/>
      <c r="H209" s="132"/>
      <c r="I209" s="163">
        <v>-0.3</v>
      </c>
      <c r="J209" s="132"/>
      <c r="K209" s="132"/>
      <c r="L209" s="49">
        <v>203.9</v>
      </c>
    </row>
    <row r="210" spans="1:12" ht="15.75">
      <c r="A210" s="69"/>
      <c r="B210" s="25" t="s">
        <v>329</v>
      </c>
      <c r="C210" s="150"/>
      <c r="D210" s="121">
        <v>107.1</v>
      </c>
      <c r="E210" s="166"/>
      <c r="F210" s="132"/>
      <c r="G210" s="132"/>
      <c r="H210" s="132"/>
      <c r="I210" s="132"/>
      <c r="J210" s="132"/>
      <c r="K210" s="132"/>
      <c r="L210" s="49">
        <v>106.7</v>
      </c>
    </row>
    <row r="211" spans="1:12" ht="30.75" customHeight="1">
      <c r="A211" s="69"/>
      <c r="B211" s="25" t="s">
        <v>139</v>
      </c>
      <c r="C211" s="150" t="s">
        <v>115</v>
      </c>
      <c r="D211" s="121">
        <f>SUM(D212:D217)</f>
        <v>1138.7</v>
      </c>
      <c r="E211" s="166"/>
      <c r="F211" s="132"/>
      <c r="G211" s="132"/>
      <c r="H211" s="132"/>
      <c r="I211" s="132"/>
      <c r="J211" s="132"/>
      <c r="K211" s="132"/>
      <c r="L211" s="121">
        <f>SUM(L212:L217)</f>
        <v>1059.4</v>
      </c>
    </row>
    <row r="212" spans="1:12" ht="15.75">
      <c r="A212" s="69"/>
      <c r="B212" s="25" t="s">
        <v>330</v>
      </c>
      <c r="C212" s="150"/>
      <c r="D212" s="121">
        <v>280</v>
      </c>
      <c r="E212" s="166"/>
      <c r="F212" s="132"/>
      <c r="G212" s="132"/>
      <c r="H212" s="132"/>
      <c r="I212" s="132"/>
      <c r="J212" s="132"/>
      <c r="K212" s="132"/>
      <c r="L212" s="49">
        <v>280</v>
      </c>
    </row>
    <row r="213" spans="1:12" ht="15.75">
      <c r="A213" s="69"/>
      <c r="B213" s="25" t="s">
        <v>331</v>
      </c>
      <c r="C213" s="150"/>
      <c r="D213" s="121">
        <v>202</v>
      </c>
      <c r="E213" s="166"/>
      <c r="F213" s="132"/>
      <c r="G213" s="132"/>
      <c r="H213" s="132"/>
      <c r="I213" s="132"/>
      <c r="J213" s="132"/>
      <c r="K213" s="132"/>
      <c r="L213" s="49">
        <v>202</v>
      </c>
    </row>
    <row r="214" spans="1:12" ht="15.75">
      <c r="A214" s="69"/>
      <c r="B214" s="25" t="s">
        <v>332</v>
      </c>
      <c r="C214" s="150"/>
      <c r="D214" s="121">
        <f>178+I214</f>
        <v>177.6</v>
      </c>
      <c r="E214" s="166"/>
      <c r="F214" s="132"/>
      <c r="G214" s="132"/>
      <c r="H214" s="132"/>
      <c r="I214" s="132">
        <v>-0.4</v>
      </c>
      <c r="J214" s="132"/>
      <c r="K214" s="132"/>
      <c r="L214" s="49">
        <v>177.5</v>
      </c>
    </row>
    <row r="215" spans="1:12" ht="15.75">
      <c r="A215" s="69"/>
      <c r="B215" s="25" t="s">
        <v>476</v>
      </c>
      <c r="C215" s="150"/>
      <c r="D215" s="121">
        <f>125+I215</f>
        <v>123</v>
      </c>
      <c r="E215" s="166"/>
      <c r="F215" s="132"/>
      <c r="G215" s="132"/>
      <c r="H215" s="132"/>
      <c r="I215" s="132">
        <v>-2</v>
      </c>
      <c r="J215" s="132"/>
      <c r="K215" s="132"/>
      <c r="L215" s="49">
        <v>122.9</v>
      </c>
    </row>
    <row r="216" spans="1:12" ht="15.75">
      <c r="A216" s="69"/>
      <c r="B216" s="25" t="s">
        <v>334</v>
      </c>
      <c r="C216" s="150"/>
      <c r="D216" s="121">
        <v>228</v>
      </c>
      <c r="E216" s="166"/>
      <c r="F216" s="132"/>
      <c r="G216" s="132"/>
      <c r="H216" s="132"/>
      <c r="I216" s="132"/>
      <c r="J216" s="132"/>
      <c r="K216" s="132"/>
      <c r="L216" s="49">
        <v>176</v>
      </c>
    </row>
    <row r="217" spans="1:12" ht="15.75">
      <c r="A217" s="69"/>
      <c r="B217" s="25" t="s">
        <v>335</v>
      </c>
      <c r="C217" s="150"/>
      <c r="D217" s="121">
        <f>130+I217</f>
        <v>128.1</v>
      </c>
      <c r="E217" s="166"/>
      <c r="F217" s="132"/>
      <c r="G217" s="132"/>
      <c r="H217" s="132"/>
      <c r="I217" s="132">
        <v>-1.9</v>
      </c>
      <c r="J217" s="132"/>
      <c r="K217" s="132"/>
      <c r="L217" s="49">
        <v>101</v>
      </c>
    </row>
    <row r="218" spans="1:12" ht="29.25" customHeight="1">
      <c r="A218" s="69"/>
      <c r="B218" s="25" t="s">
        <v>145</v>
      </c>
      <c r="C218" s="150" t="s">
        <v>115</v>
      </c>
      <c r="D218" s="121">
        <f>SUM(D219:D225)</f>
        <v>1037.6</v>
      </c>
      <c r="E218" s="168"/>
      <c r="F218" s="132"/>
      <c r="G218" s="132"/>
      <c r="H218" s="132"/>
      <c r="I218" s="163"/>
      <c r="J218" s="132"/>
      <c r="K218" s="132"/>
      <c r="L218" s="121">
        <f>SUM(L219:L225)</f>
        <v>421.70000000000005</v>
      </c>
    </row>
    <row r="219" spans="1:12" ht="15.75">
      <c r="A219" s="69"/>
      <c r="B219" s="25" t="s">
        <v>336</v>
      </c>
      <c r="C219" s="150"/>
      <c r="D219" s="121">
        <f>185.6+I219</f>
        <v>185.4</v>
      </c>
      <c r="E219" s="168"/>
      <c r="F219" s="132"/>
      <c r="G219" s="132"/>
      <c r="H219" s="132"/>
      <c r="I219" s="163">
        <v>-0.2</v>
      </c>
      <c r="J219" s="132"/>
      <c r="K219" s="132"/>
      <c r="L219" s="49">
        <v>37.1</v>
      </c>
    </row>
    <row r="220" spans="1:12" ht="15.75">
      <c r="A220" s="69"/>
      <c r="B220" s="25" t="s">
        <v>315</v>
      </c>
      <c r="C220" s="150"/>
      <c r="D220" s="121">
        <v>186</v>
      </c>
      <c r="E220" s="168"/>
      <c r="F220" s="132"/>
      <c r="G220" s="132"/>
      <c r="H220" s="132"/>
      <c r="I220" s="132"/>
      <c r="J220" s="132"/>
      <c r="K220" s="132"/>
      <c r="L220" s="49">
        <v>167</v>
      </c>
    </row>
    <row r="221" spans="1:12" ht="15.75">
      <c r="A221" s="69"/>
      <c r="B221" s="25" t="s">
        <v>337</v>
      </c>
      <c r="C221" s="150"/>
      <c r="D221" s="121">
        <v>107.2</v>
      </c>
      <c r="E221" s="168"/>
      <c r="F221" s="132"/>
      <c r="G221" s="132"/>
      <c r="H221" s="132"/>
      <c r="I221" s="132"/>
      <c r="J221" s="132"/>
      <c r="K221" s="132"/>
      <c r="L221" s="49">
        <v>21.4</v>
      </c>
    </row>
    <row r="222" spans="1:12" ht="15.75">
      <c r="A222" s="69"/>
      <c r="B222" s="25" t="s">
        <v>338</v>
      </c>
      <c r="C222" s="150"/>
      <c r="D222" s="121">
        <v>122</v>
      </c>
      <c r="E222" s="168"/>
      <c r="F222" s="132"/>
      <c r="G222" s="132"/>
      <c r="H222" s="132"/>
      <c r="I222" s="132"/>
      <c r="J222" s="132"/>
      <c r="K222" s="132"/>
      <c r="L222" s="49">
        <v>24.4</v>
      </c>
    </row>
    <row r="223" spans="1:12" ht="15.75">
      <c r="A223" s="69"/>
      <c r="B223" s="25" t="s">
        <v>339</v>
      </c>
      <c r="C223" s="150"/>
      <c r="D223" s="121">
        <v>103</v>
      </c>
      <c r="E223" s="168"/>
      <c r="F223" s="132"/>
      <c r="G223" s="132"/>
      <c r="H223" s="132"/>
      <c r="I223" s="132"/>
      <c r="J223" s="132"/>
      <c r="K223" s="132"/>
      <c r="L223" s="49">
        <v>20.6</v>
      </c>
    </row>
    <row r="224" spans="1:12" ht="15.75">
      <c r="A224" s="69"/>
      <c r="B224" s="25" t="s">
        <v>340</v>
      </c>
      <c r="C224" s="150"/>
      <c r="D224" s="121">
        <v>184</v>
      </c>
      <c r="E224" s="168"/>
      <c r="F224" s="132"/>
      <c r="G224" s="132"/>
      <c r="H224" s="132"/>
      <c r="I224" s="132"/>
      <c r="J224" s="132"/>
      <c r="K224" s="132"/>
      <c r="L224" s="49">
        <v>36.8</v>
      </c>
    </row>
    <row r="225" spans="1:12" ht="15.75">
      <c r="A225" s="69"/>
      <c r="B225" s="25" t="s">
        <v>446</v>
      </c>
      <c r="C225" s="150"/>
      <c r="D225" s="121">
        <f>K225</f>
        <v>150</v>
      </c>
      <c r="E225" s="168"/>
      <c r="F225" s="132"/>
      <c r="G225" s="132"/>
      <c r="H225" s="132"/>
      <c r="I225" s="132"/>
      <c r="J225" s="132"/>
      <c r="K225" s="132">
        <v>150</v>
      </c>
      <c r="L225" s="49">
        <v>114.4</v>
      </c>
    </row>
    <row r="226" spans="1:12" ht="30" customHeight="1">
      <c r="A226" s="69"/>
      <c r="B226" s="25" t="s">
        <v>477</v>
      </c>
      <c r="C226" s="150" t="s">
        <v>115</v>
      </c>
      <c r="D226" s="121">
        <f>SUM(D227:D233)</f>
        <v>982.5000000000001</v>
      </c>
      <c r="E226" s="167"/>
      <c r="F226" s="132"/>
      <c r="G226" s="132"/>
      <c r="H226" s="132"/>
      <c r="I226" s="132"/>
      <c r="J226" s="132"/>
      <c r="K226" s="132"/>
      <c r="L226" s="121">
        <f>SUM(L227:L233)</f>
        <v>968.9</v>
      </c>
    </row>
    <row r="227" spans="1:12" ht="15.75">
      <c r="A227" s="69"/>
      <c r="B227" s="25" t="s">
        <v>341</v>
      </c>
      <c r="C227" s="150"/>
      <c r="D227" s="121">
        <f>170+F227+I227</f>
        <v>171.3</v>
      </c>
      <c r="E227" s="167"/>
      <c r="F227" s="132">
        <v>28</v>
      </c>
      <c r="G227" s="132"/>
      <c r="H227" s="132"/>
      <c r="I227" s="132">
        <v>-26.7</v>
      </c>
      <c r="J227" s="132"/>
      <c r="K227" s="132"/>
      <c r="L227" s="49">
        <v>169.9</v>
      </c>
    </row>
    <row r="228" spans="1:12" ht="15.75">
      <c r="A228" s="69"/>
      <c r="B228" s="25" t="s">
        <v>155</v>
      </c>
      <c r="C228" s="150"/>
      <c r="D228" s="121">
        <f>70+F228+I228</f>
        <v>182</v>
      </c>
      <c r="E228" s="167"/>
      <c r="F228" s="132">
        <v>128</v>
      </c>
      <c r="G228" s="132"/>
      <c r="H228" s="132"/>
      <c r="I228" s="132">
        <v>-16</v>
      </c>
      <c r="J228" s="132"/>
      <c r="K228" s="132"/>
      <c r="L228" s="49">
        <v>179.7</v>
      </c>
    </row>
    <row r="229" spans="1:12" ht="15.75" customHeight="1" hidden="1">
      <c r="A229" s="69"/>
      <c r="B229" s="25" t="s">
        <v>342</v>
      </c>
      <c r="C229" s="150"/>
      <c r="D229" s="121">
        <f>100+F229</f>
        <v>0</v>
      </c>
      <c r="E229" s="167"/>
      <c r="F229" s="132">
        <v>-100</v>
      </c>
      <c r="G229" s="132"/>
      <c r="H229" s="132"/>
      <c r="I229" s="132"/>
      <c r="J229" s="132"/>
      <c r="K229" s="132"/>
      <c r="L229" s="49"/>
    </row>
    <row r="230" spans="1:12" ht="15.75">
      <c r="A230" s="69"/>
      <c r="B230" s="25" t="s">
        <v>343</v>
      </c>
      <c r="C230" s="150"/>
      <c r="D230" s="121">
        <f>295+I230</f>
        <v>282.6</v>
      </c>
      <c r="E230" s="167"/>
      <c r="F230" s="132"/>
      <c r="G230" s="132"/>
      <c r="H230" s="132"/>
      <c r="I230" s="132">
        <v>-12.4</v>
      </c>
      <c r="J230" s="132"/>
      <c r="K230" s="132"/>
      <c r="L230" s="49">
        <v>276.9</v>
      </c>
    </row>
    <row r="231" spans="1:12" ht="15.75">
      <c r="A231" s="69"/>
      <c r="B231" s="25" t="s">
        <v>344</v>
      </c>
      <c r="C231" s="150"/>
      <c r="D231" s="121">
        <f>250+I231</f>
        <v>236</v>
      </c>
      <c r="E231" s="167"/>
      <c r="F231" s="132"/>
      <c r="G231" s="132"/>
      <c r="H231" s="132"/>
      <c r="I231" s="163">
        <v>-14</v>
      </c>
      <c r="J231" s="132"/>
      <c r="K231" s="132"/>
      <c r="L231" s="49">
        <v>232.5</v>
      </c>
    </row>
    <row r="232" spans="1:12" ht="15.75" customHeight="1" hidden="1">
      <c r="A232" s="69"/>
      <c r="B232" s="25" t="s">
        <v>345</v>
      </c>
      <c r="C232" s="150"/>
      <c r="D232" s="121">
        <f>170.3+F232</f>
        <v>0</v>
      </c>
      <c r="E232" s="167"/>
      <c r="F232" s="132">
        <v>-170.3</v>
      </c>
      <c r="G232" s="132"/>
      <c r="H232" s="132"/>
      <c r="I232" s="132"/>
      <c r="J232" s="132"/>
      <c r="K232" s="132"/>
      <c r="L232" s="49"/>
    </row>
    <row r="233" spans="1:12" ht="15.75">
      <c r="A233" s="69"/>
      <c r="B233" s="25" t="s">
        <v>387</v>
      </c>
      <c r="C233" s="151"/>
      <c r="D233" s="121">
        <f>F233+I233</f>
        <v>110.6</v>
      </c>
      <c r="E233" s="167"/>
      <c r="F233" s="132">
        <v>114.3</v>
      </c>
      <c r="G233" s="132"/>
      <c r="H233" s="132"/>
      <c r="I233" s="163">
        <v>-3.7</v>
      </c>
      <c r="J233" s="132"/>
      <c r="K233" s="132"/>
      <c r="L233" s="49">
        <v>109.9</v>
      </c>
    </row>
    <row r="234" spans="1:12" ht="48" customHeight="1">
      <c r="A234" s="69"/>
      <c r="B234" s="198" t="s">
        <v>119</v>
      </c>
      <c r="C234" s="199"/>
      <c r="D234" s="121">
        <f>SUM(D235:D239)</f>
        <v>1046.3000000000002</v>
      </c>
      <c r="E234" s="167"/>
      <c r="F234" s="132"/>
      <c r="G234" s="132"/>
      <c r="H234" s="132"/>
      <c r="I234" s="132"/>
      <c r="J234" s="132"/>
      <c r="K234" s="132"/>
      <c r="L234" s="121">
        <f>SUM(L235:L239)</f>
        <v>1003.6</v>
      </c>
    </row>
    <row r="235" spans="1:12" ht="15.75">
      <c r="A235" s="66"/>
      <c r="B235" s="25" t="s">
        <v>171</v>
      </c>
      <c r="C235" s="152"/>
      <c r="D235" s="122">
        <v>50</v>
      </c>
      <c r="E235" s="166"/>
      <c r="F235" s="132"/>
      <c r="G235" s="132"/>
      <c r="H235" s="132"/>
      <c r="I235" s="132"/>
      <c r="J235" s="132"/>
      <c r="K235" s="132"/>
      <c r="L235" s="49">
        <v>50</v>
      </c>
    </row>
    <row r="236" spans="1:12" ht="15.75">
      <c r="A236" s="66"/>
      <c r="B236" s="25" t="s">
        <v>116</v>
      </c>
      <c r="C236" s="152"/>
      <c r="D236" s="122">
        <v>92.8</v>
      </c>
      <c r="E236" s="166"/>
      <c r="F236" s="132"/>
      <c r="G236" s="132"/>
      <c r="H236" s="132"/>
      <c r="I236" s="132"/>
      <c r="J236" s="132"/>
      <c r="K236" s="132"/>
      <c r="L236" s="49">
        <v>92.8</v>
      </c>
    </row>
    <row r="237" spans="1:12" ht="15.75">
      <c r="A237" s="66"/>
      <c r="B237" s="25" t="s">
        <v>478</v>
      </c>
      <c r="C237" s="152"/>
      <c r="D237" s="122">
        <f>H237</f>
        <v>139.3</v>
      </c>
      <c r="E237" s="166"/>
      <c r="F237" s="132"/>
      <c r="G237" s="132"/>
      <c r="H237" s="132">
        <v>139.3</v>
      </c>
      <c r="I237" s="132"/>
      <c r="J237" s="132"/>
      <c r="K237" s="132"/>
      <c r="L237" s="49">
        <v>109.8</v>
      </c>
    </row>
    <row r="238" spans="1:12" ht="15.75">
      <c r="A238" s="66"/>
      <c r="B238" s="25" t="s">
        <v>117</v>
      </c>
      <c r="C238" s="152"/>
      <c r="D238" s="122">
        <v>513.2</v>
      </c>
      <c r="E238" s="166"/>
      <c r="F238" s="132"/>
      <c r="G238" s="132"/>
      <c r="H238" s="132"/>
      <c r="I238" s="132"/>
      <c r="J238" s="132"/>
      <c r="K238" s="132"/>
      <c r="L238" s="49">
        <v>500</v>
      </c>
    </row>
    <row r="239" spans="1:12" ht="15.75">
      <c r="A239" s="66"/>
      <c r="B239" s="25" t="s">
        <v>479</v>
      </c>
      <c r="C239" s="152"/>
      <c r="D239" s="122">
        <v>251</v>
      </c>
      <c r="E239" s="166"/>
      <c r="F239" s="132"/>
      <c r="G239" s="132"/>
      <c r="H239" s="132"/>
      <c r="I239" s="132"/>
      <c r="J239" s="132"/>
      <c r="K239" s="132"/>
      <c r="L239" s="49">
        <v>251</v>
      </c>
    </row>
    <row r="240" spans="1:12" ht="29.25" customHeight="1">
      <c r="A240" s="66" t="s">
        <v>294</v>
      </c>
      <c r="B240" s="190" t="s">
        <v>120</v>
      </c>
      <c r="C240" s="191"/>
      <c r="D240" s="120">
        <f>SUM(D241:D244)</f>
        <v>3068.7000000000003</v>
      </c>
      <c r="E240" s="166"/>
      <c r="F240" s="132"/>
      <c r="G240" s="132"/>
      <c r="H240" s="132"/>
      <c r="I240" s="132"/>
      <c r="J240" s="132"/>
      <c r="K240" s="132"/>
      <c r="L240" s="120">
        <f>SUM(L241:L244)</f>
        <v>2434.5</v>
      </c>
    </row>
    <row r="241" spans="1:12" ht="15.75">
      <c r="A241" s="69"/>
      <c r="B241" s="25" t="s">
        <v>480</v>
      </c>
      <c r="C241" s="151"/>
      <c r="D241" s="121">
        <f>549+K241</f>
        <v>712.6</v>
      </c>
      <c r="E241" s="166"/>
      <c r="F241" s="132"/>
      <c r="G241" s="132"/>
      <c r="H241" s="132"/>
      <c r="I241" s="132"/>
      <c r="J241" s="132"/>
      <c r="K241" s="132">
        <v>163.6</v>
      </c>
      <c r="L241" s="49">
        <v>711.5</v>
      </c>
    </row>
    <row r="242" spans="1:12" ht="15.75">
      <c r="A242" s="69"/>
      <c r="B242" s="25" t="s">
        <v>171</v>
      </c>
      <c r="C242" s="151"/>
      <c r="D242" s="121">
        <v>813.6</v>
      </c>
      <c r="E242" s="166"/>
      <c r="F242" s="132"/>
      <c r="G242" s="132"/>
      <c r="H242" s="132"/>
      <c r="I242" s="132"/>
      <c r="J242" s="132"/>
      <c r="K242" s="132"/>
      <c r="L242" s="49">
        <v>563</v>
      </c>
    </row>
    <row r="243" spans="1:12" ht="15.75">
      <c r="A243" s="69"/>
      <c r="B243" s="25" t="s">
        <v>116</v>
      </c>
      <c r="C243" s="151"/>
      <c r="D243" s="121">
        <f>1099+I243</f>
        <v>1045.7</v>
      </c>
      <c r="E243" s="166"/>
      <c r="F243" s="132"/>
      <c r="G243" s="132"/>
      <c r="H243" s="132"/>
      <c r="I243" s="132">
        <v>-53.3</v>
      </c>
      <c r="J243" s="132"/>
      <c r="K243" s="132"/>
      <c r="L243" s="49">
        <v>663.5</v>
      </c>
    </row>
    <row r="244" spans="1:12" ht="15.75">
      <c r="A244" s="69"/>
      <c r="B244" s="25" t="s">
        <v>479</v>
      </c>
      <c r="C244" s="151"/>
      <c r="D244" s="121">
        <f>550+I244</f>
        <v>496.8</v>
      </c>
      <c r="E244" s="166"/>
      <c r="F244" s="132"/>
      <c r="G244" s="132"/>
      <c r="H244" s="132"/>
      <c r="I244" s="132">
        <v>-53.2</v>
      </c>
      <c r="J244" s="132"/>
      <c r="K244" s="132"/>
      <c r="L244" s="49">
        <v>496.5</v>
      </c>
    </row>
    <row r="245" spans="1:12" ht="15.75" customHeight="1">
      <c r="A245" s="66" t="s">
        <v>295</v>
      </c>
      <c r="B245" s="190" t="s">
        <v>121</v>
      </c>
      <c r="C245" s="191"/>
      <c r="D245" s="120">
        <f>D246+D257+D264+D273+D290+D302+D308</f>
        <v>30676.05</v>
      </c>
      <c r="E245" s="166"/>
      <c r="F245" s="132"/>
      <c r="G245" s="132">
        <f>SUM(G246:G307)</f>
        <v>-5993.2</v>
      </c>
      <c r="H245" s="132"/>
      <c r="I245" s="132"/>
      <c r="J245" s="132"/>
      <c r="K245" s="132"/>
      <c r="L245" s="120">
        <f>L246+L257+L264+L273+L290+L302+L308</f>
        <v>28266.400000000005</v>
      </c>
    </row>
    <row r="246" spans="1:12" ht="15.75">
      <c r="A246" s="69"/>
      <c r="B246" s="26" t="s">
        <v>481</v>
      </c>
      <c r="C246" s="150"/>
      <c r="D246" s="121">
        <f>SUM(D247:D256)</f>
        <v>4524</v>
      </c>
      <c r="E246" s="166"/>
      <c r="F246" s="132"/>
      <c r="G246" s="132"/>
      <c r="H246" s="132"/>
      <c r="I246" s="132"/>
      <c r="J246" s="132"/>
      <c r="K246" s="132"/>
      <c r="L246" s="121">
        <f>SUM(L247:L256)</f>
        <v>4443.5</v>
      </c>
    </row>
    <row r="247" spans="1:12" ht="15.75" customHeight="1" hidden="1">
      <c r="A247" s="69"/>
      <c r="B247" s="25" t="s">
        <v>123</v>
      </c>
      <c r="C247" s="150" t="s">
        <v>124</v>
      </c>
      <c r="D247" s="121">
        <f>740+G247</f>
        <v>0</v>
      </c>
      <c r="E247" s="166"/>
      <c r="F247" s="132"/>
      <c r="G247" s="132">
        <v>-740</v>
      </c>
      <c r="H247" s="132"/>
      <c r="I247" s="132"/>
      <c r="J247" s="132"/>
      <c r="K247" s="132"/>
      <c r="L247" s="49"/>
    </row>
    <row r="248" spans="1:12" ht="15.75">
      <c r="A248" s="69"/>
      <c r="B248" s="25" t="s">
        <v>125</v>
      </c>
      <c r="C248" s="150" t="s">
        <v>126</v>
      </c>
      <c r="D248" s="121">
        <f>380+I248</f>
        <v>301</v>
      </c>
      <c r="E248" s="166"/>
      <c r="F248" s="132"/>
      <c r="G248" s="132"/>
      <c r="H248" s="132"/>
      <c r="I248" s="132">
        <v>-79</v>
      </c>
      <c r="J248" s="132"/>
      <c r="K248" s="132"/>
      <c r="L248" s="49">
        <v>300</v>
      </c>
    </row>
    <row r="249" spans="1:12" ht="15.75" customHeight="1" hidden="1">
      <c r="A249" s="69"/>
      <c r="B249" s="25" t="s">
        <v>127</v>
      </c>
      <c r="C249" s="150" t="s">
        <v>126</v>
      </c>
      <c r="D249" s="121">
        <f>350+G249</f>
        <v>0</v>
      </c>
      <c r="E249" s="166"/>
      <c r="F249" s="132"/>
      <c r="G249" s="132">
        <v>-350</v>
      </c>
      <c r="H249" s="132"/>
      <c r="I249" s="132"/>
      <c r="J249" s="132"/>
      <c r="K249" s="132"/>
      <c r="L249" s="49"/>
    </row>
    <row r="250" spans="1:12" ht="30" customHeight="1">
      <c r="A250" s="69"/>
      <c r="B250" s="25" t="s">
        <v>128</v>
      </c>
      <c r="C250" s="150" t="s">
        <v>129</v>
      </c>
      <c r="D250" s="121">
        <v>2509</v>
      </c>
      <c r="E250" s="166"/>
      <c r="F250" s="132"/>
      <c r="G250" s="132"/>
      <c r="H250" s="132"/>
      <c r="I250" s="132"/>
      <c r="J250" s="132"/>
      <c r="K250" s="132"/>
      <c r="L250" s="49">
        <v>2500</v>
      </c>
    </row>
    <row r="251" spans="1:12" ht="15.75" customHeight="1" hidden="1">
      <c r="A251" s="69"/>
      <c r="B251" s="25" t="s">
        <v>130</v>
      </c>
      <c r="C251" s="150" t="s">
        <v>131</v>
      </c>
      <c r="D251" s="121">
        <v>0</v>
      </c>
      <c r="E251" s="166"/>
      <c r="F251" s="132"/>
      <c r="G251" s="132"/>
      <c r="H251" s="132"/>
      <c r="I251" s="132"/>
      <c r="J251" s="132"/>
      <c r="K251" s="132"/>
      <c r="L251" s="49"/>
    </row>
    <row r="252" spans="1:12" ht="15.75">
      <c r="A252" s="69"/>
      <c r="B252" s="25" t="s">
        <v>132</v>
      </c>
      <c r="C252" s="150" t="s">
        <v>124</v>
      </c>
      <c r="D252" s="121">
        <f>600+I252</f>
        <v>925</v>
      </c>
      <c r="E252" s="166"/>
      <c r="F252" s="132"/>
      <c r="G252" s="132"/>
      <c r="H252" s="132"/>
      <c r="I252" s="132">
        <v>325</v>
      </c>
      <c r="J252" s="132"/>
      <c r="K252" s="132"/>
      <c r="L252" s="49">
        <v>925</v>
      </c>
    </row>
    <row r="253" spans="1:12" ht="15.75" customHeight="1" hidden="1">
      <c r="A253" s="69"/>
      <c r="B253" s="25" t="s">
        <v>134</v>
      </c>
      <c r="C253" s="150" t="s">
        <v>124</v>
      </c>
      <c r="D253" s="121">
        <f>738+G253</f>
        <v>0</v>
      </c>
      <c r="E253" s="166"/>
      <c r="F253" s="132"/>
      <c r="G253" s="132">
        <v>-738</v>
      </c>
      <c r="H253" s="132"/>
      <c r="I253" s="132"/>
      <c r="J253" s="132"/>
      <c r="K253" s="132"/>
      <c r="L253" s="49"/>
    </row>
    <row r="254" spans="1:12" ht="15.75">
      <c r="A254" s="69"/>
      <c r="B254" s="25" t="s">
        <v>241</v>
      </c>
      <c r="C254" s="150" t="s">
        <v>242</v>
      </c>
      <c r="D254" s="121">
        <f>340+I254</f>
        <v>389</v>
      </c>
      <c r="E254" s="166"/>
      <c r="F254" s="132"/>
      <c r="G254" s="132"/>
      <c r="H254" s="132"/>
      <c r="I254" s="132">
        <v>49</v>
      </c>
      <c r="J254" s="132"/>
      <c r="K254" s="132"/>
      <c r="L254" s="49">
        <v>318.5</v>
      </c>
    </row>
    <row r="255" spans="1:12" ht="15.75">
      <c r="A255" s="69"/>
      <c r="B255" s="25" t="s">
        <v>437</v>
      </c>
      <c r="C255" s="150" t="s">
        <v>124</v>
      </c>
      <c r="D255" s="121">
        <f>+J255</f>
        <v>200</v>
      </c>
      <c r="E255" s="166"/>
      <c r="F255" s="132"/>
      <c r="G255" s="132"/>
      <c r="H255" s="132"/>
      <c r="I255" s="132"/>
      <c r="J255" s="132">
        <v>200</v>
      </c>
      <c r="K255" s="132"/>
      <c r="L255" s="49">
        <v>200</v>
      </c>
    </row>
    <row r="256" spans="1:12" s="138" customFormat="1" ht="15.75">
      <c r="A256" s="137"/>
      <c r="B256" s="196" t="s">
        <v>135</v>
      </c>
      <c r="C256" s="197"/>
      <c r="D256" s="140">
        <v>200</v>
      </c>
      <c r="E256" s="169"/>
      <c r="F256" s="139"/>
      <c r="G256" s="139"/>
      <c r="H256" s="139"/>
      <c r="I256" s="139"/>
      <c r="J256" s="139"/>
      <c r="K256" s="139"/>
      <c r="L256" s="49">
        <v>200</v>
      </c>
    </row>
    <row r="257" spans="1:12" ht="15.75">
      <c r="A257" s="69"/>
      <c r="B257" s="26" t="s">
        <v>475</v>
      </c>
      <c r="C257" s="150"/>
      <c r="D257" s="121">
        <f>SUM(D258:D263)</f>
        <v>692.7</v>
      </c>
      <c r="E257" s="166"/>
      <c r="F257" s="132"/>
      <c r="G257" s="132"/>
      <c r="H257" s="132"/>
      <c r="I257" s="132"/>
      <c r="J257" s="132"/>
      <c r="K257" s="132"/>
      <c r="L257" s="121">
        <f>SUM(L258:L263)</f>
        <v>624.7</v>
      </c>
    </row>
    <row r="258" spans="1:12" ht="31.5" customHeight="1">
      <c r="A258" s="69"/>
      <c r="B258" s="25" t="s">
        <v>137</v>
      </c>
      <c r="C258" s="150" t="s">
        <v>138</v>
      </c>
      <c r="D258" s="121">
        <v>399</v>
      </c>
      <c r="E258" s="166"/>
      <c r="F258" s="132"/>
      <c r="G258" s="132"/>
      <c r="H258" s="132"/>
      <c r="I258" s="132"/>
      <c r="J258" s="132"/>
      <c r="K258" s="132"/>
      <c r="L258" s="49">
        <v>399</v>
      </c>
    </row>
    <row r="259" spans="1:12" ht="31.5" customHeight="1" hidden="1">
      <c r="A259" s="69"/>
      <c r="B259" s="25" t="s">
        <v>172</v>
      </c>
      <c r="C259" s="150" t="s">
        <v>243</v>
      </c>
      <c r="D259" s="121">
        <f>300+G259</f>
        <v>0</v>
      </c>
      <c r="E259" s="166"/>
      <c r="F259" s="132"/>
      <c r="G259" s="132">
        <v>-300</v>
      </c>
      <c r="H259" s="132"/>
      <c r="I259" s="132"/>
      <c r="J259" s="132"/>
      <c r="K259" s="132"/>
      <c r="L259" s="49"/>
    </row>
    <row r="260" spans="1:12" ht="15.75" customHeight="1" hidden="1">
      <c r="A260" s="69"/>
      <c r="B260" s="25" t="s">
        <v>130</v>
      </c>
      <c r="C260" s="150" t="s">
        <v>131</v>
      </c>
      <c r="D260" s="121">
        <v>0</v>
      </c>
      <c r="E260" s="166"/>
      <c r="F260" s="132"/>
      <c r="G260" s="132"/>
      <c r="H260" s="132"/>
      <c r="I260" s="132"/>
      <c r="J260" s="132"/>
      <c r="K260" s="132"/>
      <c r="L260" s="49"/>
    </row>
    <row r="261" spans="1:12" ht="31.5" hidden="1">
      <c r="A261" s="69"/>
      <c r="B261" s="25" t="s">
        <v>244</v>
      </c>
      <c r="C261" s="150" t="s">
        <v>245</v>
      </c>
      <c r="D261" s="121">
        <f>250+I261</f>
        <v>0</v>
      </c>
      <c r="E261" s="166"/>
      <c r="F261" s="132"/>
      <c r="G261" s="132"/>
      <c r="H261" s="132"/>
      <c r="I261" s="132">
        <v>-250</v>
      </c>
      <c r="J261" s="132"/>
      <c r="K261" s="132"/>
      <c r="L261" s="49"/>
    </row>
    <row r="262" spans="1:12" ht="31.5">
      <c r="A262" s="69"/>
      <c r="B262" s="25" t="s">
        <v>347</v>
      </c>
      <c r="C262" s="150" t="s">
        <v>249</v>
      </c>
      <c r="D262" s="121">
        <v>80</v>
      </c>
      <c r="E262" s="166"/>
      <c r="F262" s="132"/>
      <c r="G262" s="132"/>
      <c r="H262" s="132"/>
      <c r="I262" s="132"/>
      <c r="J262" s="132"/>
      <c r="K262" s="132"/>
      <c r="L262" s="49">
        <v>12</v>
      </c>
    </row>
    <row r="263" spans="1:12" ht="15.75">
      <c r="A263" s="69"/>
      <c r="B263" s="196" t="s">
        <v>135</v>
      </c>
      <c r="C263" s="197"/>
      <c r="D263" s="121">
        <v>213.7</v>
      </c>
      <c r="E263" s="166"/>
      <c r="F263" s="132"/>
      <c r="G263" s="132"/>
      <c r="H263" s="132"/>
      <c r="I263" s="132"/>
      <c r="J263" s="132"/>
      <c r="K263" s="132"/>
      <c r="L263" s="49">
        <v>213.7</v>
      </c>
    </row>
    <row r="264" spans="1:12" ht="15.75">
      <c r="A264" s="69"/>
      <c r="B264" s="26" t="s">
        <v>139</v>
      </c>
      <c r="C264" s="150"/>
      <c r="D264" s="121">
        <f>SUM(D265:D272)</f>
        <v>10227.75</v>
      </c>
      <c r="E264" s="166"/>
      <c r="F264" s="132"/>
      <c r="G264" s="132"/>
      <c r="H264" s="132"/>
      <c r="I264" s="132"/>
      <c r="J264" s="132"/>
      <c r="K264" s="132"/>
      <c r="L264" s="121">
        <f>SUM(L265:L272)</f>
        <v>9414.5</v>
      </c>
    </row>
    <row r="265" spans="1:12" ht="31.5">
      <c r="A265" s="69"/>
      <c r="B265" s="25" t="s">
        <v>140</v>
      </c>
      <c r="C265" s="150" t="s">
        <v>129</v>
      </c>
      <c r="D265" s="121">
        <v>4000</v>
      </c>
      <c r="E265" s="166"/>
      <c r="F265" s="132"/>
      <c r="G265" s="132"/>
      <c r="H265" s="132"/>
      <c r="I265" s="132"/>
      <c r="J265" s="132"/>
      <c r="K265" s="132"/>
      <c r="L265" s="49">
        <v>4000</v>
      </c>
    </row>
    <row r="266" spans="1:12" ht="15.75">
      <c r="A266" s="69"/>
      <c r="B266" s="25" t="s">
        <v>141</v>
      </c>
      <c r="C266" s="150" t="s">
        <v>142</v>
      </c>
      <c r="D266" s="121">
        <f>2000+G266+I266</f>
        <v>3665</v>
      </c>
      <c r="E266" s="166"/>
      <c r="F266" s="132"/>
      <c r="G266" s="132">
        <f>-1430-380</f>
        <v>-1810</v>
      </c>
      <c r="H266" s="132"/>
      <c r="I266" s="132">
        <v>3475</v>
      </c>
      <c r="J266" s="132"/>
      <c r="K266" s="132"/>
      <c r="L266" s="49">
        <v>3659.2</v>
      </c>
    </row>
    <row r="267" spans="1:12" ht="15.75">
      <c r="A267" s="69"/>
      <c r="B267" s="25" t="s">
        <v>143</v>
      </c>
      <c r="C267" s="150" t="s">
        <v>144</v>
      </c>
      <c r="D267" s="121">
        <v>112</v>
      </c>
      <c r="E267" s="166"/>
      <c r="F267" s="132"/>
      <c r="G267" s="132"/>
      <c r="H267" s="132"/>
      <c r="I267" s="132"/>
      <c r="J267" s="132"/>
      <c r="K267" s="132"/>
      <c r="L267" s="49">
        <v>20</v>
      </c>
    </row>
    <row r="268" spans="1:12" ht="15.75">
      <c r="A268" s="69"/>
      <c r="B268" s="25" t="s">
        <v>246</v>
      </c>
      <c r="C268" s="150" t="s">
        <v>144</v>
      </c>
      <c r="D268" s="121">
        <f>200+J268</f>
        <v>312</v>
      </c>
      <c r="E268" s="166"/>
      <c r="F268" s="132"/>
      <c r="G268" s="132"/>
      <c r="H268" s="132"/>
      <c r="I268" s="132"/>
      <c r="J268" s="132">
        <v>112</v>
      </c>
      <c r="K268" s="132"/>
      <c r="L268" s="49">
        <v>192.9</v>
      </c>
    </row>
    <row r="269" spans="1:12" ht="15.75" customHeight="1" hidden="1">
      <c r="A269" s="69"/>
      <c r="B269" s="25" t="s">
        <v>130</v>
      </c>
      <c r="C269" s="150" t="s">
        <v>131</v>
      </c>
      <c r="D269" s="121">
        <v>0</v>
      </c>
      <c r="E269" s="166"/>
      <c r="F269" s="132"/>
      <c r="G269" s="132"/>
      <c r="H269" s="132"/>
      <c r="I269" s="132"/>
      <c r="J269" s="132"/>
      <c r="K269" s="132"/>
      <c r="L269" s="49"/>
    </row>
    <row r="270" spans="1:12" ht="15.75" customHeight="1">
      <c r="A270" s="69"/>
      <c r="B270" s="25" t="s">
        <v>397</v>
      </c>
      <c r="C270" s="150" t="s">
        <v>399</v>
      </c>
      <c r="D270" s="121">
        <f>G270+J270</f>
        <v>545</v>
      </c>
      <c r="E270" s="166"/>
      <c r="F270" s="132"/>
      <c r="G270" s="132">
        <v>380</v>
      </c>
      <c r="H270" s="132"/>
      <c r="I270" s="132"/>
      <c r="J270" s="132">
        <v>165</v>
      </c>
      <c r="K270" s="132"/>
      <c r="L270" s="49">
        <v>276</v>
      </c>
    </row>
    <row r="271" spans="1:12" ht="31.5">
      <c r="A271" s="69"/>
      <c r="B271" s="25" t="s">
        <v>460</v>
      </c>
      <c r="C271" s="150" t="s">
        <v>248</v>
      </c>
      <c r="D271" s="121">
        <v>32.6</v>
      </c>
      <c r="E271" s="166"/>
      <c r="F271" s="132"/>
      <c r="G271" s="132"/>
      <c r="H271" s="132"/>
      <c r="I271" s="132"/>
      <c r="J271" s="132"/>
      <c r="K271" s="132"/>
      <c r="L271" s="49">
        <v>32.6</v>
      </c>
    </row>
    <row r="272" spans="1:12" ht="15.75">
      <c r="A272" s="69"/>
      <c r="B272" s="196" t="s">
        <v>135</v>
      </c>
      <c r="C272" s="197"/>
      <c r="D272" s="121">
        <f>1431.35+H272</f>
        <v>1561.1499999999999</v>
      </c>
      <c r="E272" s="166"/>
      <c r="F272" s="132"/>
      <c r="G272" s="132"/>
      <c r="H272" s="132">
        <v>129.8</v>
      </c>
      <c r="I272" s="132"/>
      <c r="J272" s="132"/>
      <c r="K272" s="132"/>
      <c r="L272" s="49">
        <v>1233.8</v>
      </c>
    </row>
    <row r="273" spans="1:12" ht="15.75">
      <c r="A273" s="69"/>
      <c r="B273" s="26" t="s">
        <v>145</v>
      </c>
      <c r="C273" s="150"/>
      <c r="D273" s="121">
        <f>SUM(D274:D289)</f>
        <v>8356.4</v>
      </c>
      <c r="E273" s="166"/>
      <c r="F273" s="132"/>
      <c r="G273" s="132"/>
      <c r="H273" s="132"/>
      <c r="I273" s="132"/>
      <c r="J273" s="132"/>
      <c r="K273" s="132"/>
      <c r="L273" s="121">
        <f>SUM(L274:L289)</f>
        <v>7400.2</v>
      </c>
    </row>
    <row r="274" spans="1:12" ht="31.5">
      <c r="A274" s="69"/>
      <c r="B274" s="25" t="s">
        <v>146</v>
      </c>
      <c r="C274" s="150" t="s">
        <v>129</v>
      </c>
      <c r="D274" s="121">
        <v>1100</v>
      </c>
      <c r="E274" s="166"/>
      <c r="F274" s="132"/>
      <c r="G274" s="132"/>
      <c r="H274" s="132"/>
      <c r="I274" s="132"/>
      <c r="J274" s="132"/>
      <c r="K274" s="132"/>
      <c r="L274" s="49">
        <v>1100</v>
      </c>
    </row>
    <row r="275" spans="1:12" ht="15.75" customHeight="1" hidden="1">
      <c r="A275" s="69"/>
      <c r="B275" s="25" t="s">
        <v>147</v>
      </c>
      <c r="C275" s="150" t="s">
        <v>129</v>
      </c>
      <c r="D275" s="121">
        <f>935.2+G275</f>
        <v>0</v>
      </c>
      <c r="E275" s="166"/>
      <c r="F275" s="132"/>
      <c r="G275" s="132">
        <v>-935.2</v>
      </c>
      <c r="H275" s="132"/>
      <c r="I275" s="132"/>
      <c r="J275" s="132"/>
      <c r="K275" s="132"/>
      <c r="L275" s="49"/>
    </row>
    <row r="276" spans="1:12" ht="31.5">
      <c r="A276" s="69"/>
      <c r="B276" s="25" t="s">
        <v>398</v>
      </c>
      <c r="C276" s="153" t="s">
        <v>257</v>
      </c>
      <c r="D276" s="121">
        <f>G276</f>
        <v>150</v>
      </c>
      <c r="E276" s="166"/>
      <c r="F276" s="132"/>
      <c r="G276" s="132">
        <v>150</v>
      </c>
      <c r="H276" s="132"/>
      <c r="I276" s="132"/>
      <c r="J276" s="132"/>
      <c r="K276" s="132"/>
      <c r="L276" s="49">
        <v>125.6</v>
      </c>
    </row>
    <row r="277" spans="1:12" ht="27.75" customHeight="1">
      <c r="A277" s="69"/>
      <c r="B277" s="25" t="s">
        <v>148</v>
      </c>
      <c r="C277" s="150" t="s">
        <v>149</v>
      </c>
      <c r="D277" s="121">
        <f>500+I277</f>
        <v>2000</v>
      </c>
      <c r="E277" s="166"/>
      <c r="F277" s="132"/>
      <c r="G277" s="132"/>
      <c r="H277" s="132"/>
      <c r="I277" s="132">
        <v>1500</v>
      </c>
      <c r="J277" s="132"/>
      <c r="K277" s="132"/>
      <c r="L277" s="49">
        <v>1999.9</v>
      </c>
    </row>
    <row r="278" spans="1:12" ht="15.75" customHeight="1" hidden="1">
      <c r="A278" s="69"/>
      <c r="B278" s="25" t="s">
        <v>130</v>
      </c>
      <c r="C278" s="150" t="s">
        <v>131</v>
      </c>
      <c r="D278" s="121">
        <v>0</v>
      </c>
      <c r="E278" s="166"/>
      <c r="F278" s="132"/>
      <c r="G278" s="132"/>
      <c r="H278" s="132"/>
      <c r="I278" s="132"/>
      <c r="J278" s="132"/>
      <c r="K278" s="132"/>
      <c r="L278" s="49"/>
    </row>
    <row r="279" spans="1:12" ht="15.75" customHeight="1" hidden="1">
      <c r="A279" s="69"/>
      <c r="B279" s="25" t="s">
        <v>150</v>
      </c>
      <c r="C279" s="150" t="s">
        <v>151</v>
      </c>
      <c r="D279" s="121">
        <v>0</v>
      </c>
      <c r="E279" s="166"/>
      <c r="F279" s="132"/>
      <c r="G279" s="132"/>
      <c r="H279" s="132"/>
      <c r="I279" s="132"/>
      <c r="J279" s="132"/>
      <c r="K279" s="132"/>
      <c r="L279" s="49"/>
    </row>
    <row r="280" spans="1:12" ht="30" customHeight="1">
      <c r="A280" s="69"/>
      <c r="B280" s="25" t="s">
        <v>391</v>
      </c>
      <c r="C280" s="150" t="s">
        <v>129</v>
      </c>
      <c r="D280" s="121">
        <f>2100+G280+I280</f>
        <v>2100</v>
      </c>
      <c r="E280" s="166"/>
      <c r="F280" s="132"/>
      <c r="G280" s="132">
        <v>-1000</v>
      </c>
      <c r="H280" s="132"/>
      <c r="I280" s="132">
        <v>1000</v>
      </c>
      <c r="J280" s="132"/>
      <c r="K280" s="132"/>
      <c r="L280" s="49">
        <v>1548.3</v>
      </c>
    </row>
    <row r="281" spans="1:12" ht="15.75" customHeight="1" hidden="1">
      <c r="A281" s="69"/>
      <c r="B281" s="25" t="s">
        <v>152</v>
      </c>
      <c r="C281" s="150" t="s">
        <v>168</v>
      </c>
      <c r="D281" s="121">
        <v>0</v>
      </c>
      <c r="E281" s="166"/>
      <c r="F281" s="132"/>
      <c r="G281" s="132"/>
      <c r="H281" s="132"/>
      <c r="I281" s="132"/>
      <c r="J281" s="132"/>
      <c r="K281" s="132"/>
      <c r="L281" s="49"/>
    </row>
    <row r="282" spans="1:12" ht="15.75">
      <c r="A282" s="69"/>
      <c r="B282" s="25" t="s">
        <v>252</v>
      </c>
      <c r="C282" s="150" t="s">
        <v>242</v>
      </c>
      <c r="D282" s="121">
        <v>60</v>
      </c>
      <c r="E282" s="166"/>
      <c r="F282" s="132"/>
      <c r="G282" s="132"/>
      <c r="H282" s="132"/>
      <c r="I282" s="132"/>
      <c r="J282" s="132"/>
      <c r="K282" s="132"/>
      <c r="L282" s="49">
        <v>53.8</v>
      </c>
    </row>
    <row r="283" spans="1:12" ht="15.75">
      <c r="A283" s="69"/>
      <c r="B283" s="25" t="s">
        <v>253</v>
      </c>
      <c r="C283" s="150" t="s">
        <v>242</v>
      </c>
      <c r="D283" s="121">
        <v>60</v>
      </c>
      <c r="E283" s="166"/>
      <c r="F283" s="132"/>
      <c r="G283" s="132"/>
      <c r="H283" s="132"/>
      <c r="I283" s="132"/>
      <c r="J283" s="132"/>
      <c r="K283" s="132"/>
      <c r="L283" s="49">
        <v>56.5</v>
      </c>
    </row>
    <row r="284" spans="1:12" ht="15.75">
      <c r="A284" s="69"/>
      <c r="B284" s="25" t="s">
        <v>254</v>
      </c>
      <c r="C284" s="150" t="s">
        <v>242</v>
      </c>
      <c r="D284" s="121">
        <v>60</v>
      </c>
      <c r="E284" s="166"/>
      <c r="F284" s="132"/>
      <c r="G284" s="132"/>
      <c r="H284" s="132"/>
      <c r="I284" s="132"/>
      <c r="J284" s="132"/>
      <c r="K284" s="132"/>
      <c r="L284" s="49">
        <v>56.5</v>
      </c>
    </row>
    <row r="285" spans="1:12" ht="15.75">
      <c r="A285" s="69"/>
      <c r="B285" s="25" t="s">
        <v>250</v>
      </c>
      <c r="C285" s="150" t="s">
        <v>251</v>
      </c>
      <c r="D285" s="121">
        <v>131.6</v>
      </c>
      <c r="E285" s="166"/>
      <c r="F285" s="132"/>
      <c r="G285" s="132"/>
      <c r="H285" s="132"/>
      <c r="I285" s="132"/>
      <c r="J285" s="132"/>
      <c r="K285" s="132"/>
      <c r="L285" s="49">
        <v>129.5</v>
      </c>
    </row>
    <row r="286" spans="1:12" ht="31.5">
      <c r="A286" s="69"/>
      <c r="B286" s="74" t="s">
        <v>256</v>
      </c>
      <c r="C286" s="153" t="s">
        <v>257</v>
      </c>
      <c r="D286" s="121">
        <v>100</v>
      </c>
      <c r="E286" s="170"/>
      <c r="F286" s="132"/>
      <c r="G286" s="132"/>
      <c r="H286" s="132"/>
      <c r="I286" s="132"/>
      <c r="J286" s="132"/>
      <c r="K286" s="132"/>
      <c r="L286" s="49">
        <v>69.9</v>
      </c>
    </row>
    <row r="287" spans="1:12" ht="31.5" customHeight="1" hidden="1">
      <c r="A287" s="69"/>
      <c r="B287" s="74" t="s">
        <v>258</v>
      </c>
      <c r="C287" s="153" t="s">
        <v>257</v>
      </c>
      <c r="D287" s="122">
        <f>150+G287</f>
        <v>0</v>
      </c>
      <c r="E287" s="170"/>
      <c r="F287" s="132"/>
      <c r="G287" s="132">
        <v>-150</v>
      </c>
      <c r="H287" s="132"/>
      <c r="I287" s="132"/>
      <c r="J287" s="132"/>
      <c r="K287" s="132"/>
      <c r="L287" s="49"/>
    </row>
    <row r="288" spans="1:12" ht="15.75">
      <c r="A288" s="69"/>
      <c r="B288" s="74" t="s">
        <v>259</v>
      </c>
      <c r="C288" s="153" t="s">
        <v>242</v>
      </c>
      <c r="D288" s="122">
        <f>1000+G288+I288</f>
        <v>1509</v>
      </c>
      <c r="E288" s="170"/>
      <c r="F288" s="132"/>
      <c r="G288" s="132">
        <v>-500</v>
      </c>
      <c r="H288" s="132"/>
      <c r="I288" s="162">
        <f>1200-191</f>
        <v>1009</v>
      </c>
      <c r="J288" s="132"/>
      <c r="K288" s="132"/>
      <c r="L288" s="49">
        <v>1508</v>
      </c>
    </row>
    <row r="289" spans="1:12" ht="15.75">
      <c r="A289" s="69"/>
      <c r="B289" s="196" t="s">
        <v>135</v>
      </c>
      <c r="C289" s="197"/>
      <c r="D289" s="121">
        <v>1085.8</v>
      </c>
      <c r="E289" s="166"/>
      <c r="F289" s="132"/>
      <c r="G289" s="132"/>
      <c r="H289" s="132"/>
      <c r="I289" s="132"/>
      <c r="J289" s="132"/>
      <c r="K289" s="132"/>
      <c r="L289" s="49">
        <v>752.2</v>
      </c>
    </row>
    <row r="290" spans="1:12" ht="31.5">
      <c r="A290" s="69"/>
      <c r="B290" s="26" t="s">
        <v>482</v>
      </c>
      <c r="C290" s="150"/>
      <c r="D290" s="121">
        <f>SUM(D291:D301)</f>
        <v>2913.1</v>
      </c>
      <c r="E290" s="166"/>
      <c r="F290" s="132"/>
      <c r="G290" s="132"/>
      <c r="H290" s="132"/>
      <c r="I290" s="132"/>
      <c r="J290" s="132"/>
      <c r="K290" s="132"/>
      <c r="L290" s="121">
        <f>SUM(L291:L301)</f>
        <v>2588.9</v>
      </c>
    </row>
    <row r="291" spans="1:12" ht="15.75" hidden="1">
      <c r="A291" s="69"/>
      <c r="B291" s="25" t="s">
        <v>154</v>
      </c>
      <c r="C291" s="150" t="s">
        <v>151</v>
      </c>
      <c r="D291" s="121">
        <f>120+I291</f>
        <v>0</v>
      </c>
      <c r="E291" s="166"/>
      <c r="F291" s="132"/>
      <c r="G291" s="132"/>
      <c r="H291" s="132"/>
      <c r="I291" s="132">
        <v>-120</v>
      </c>
      <c r="J291" s="132"/>
      <c r="K291" s="132"/>
      <c r="L291" s="49"/>
    </row>
    <row r="292" spans="1:12" ht="15.75" customHeight="1" hidden="1">
      <c r="A292" s="69"/>
      <c r="B292" s="25" t="s">
        <v>155</v>
      </c>
      <c r="C292" s="150" t="s">
        <v>151</v>
      </c>
      <c r="D292" s="121">
        <f>120+I292</f>
        <v>0</v>
      </c>
      <c r="E292" s="166"/>
      <c r="F292" s="132"/>
      <c r="G292" s="132"/>
      <c r="H292" s="132"/>
      <c r="I292" s="132">
        <v>-120</v>
      </c>
      <c r="J292" s="132"/>
      <c r="K292" s="132"/>
      <c r="L292" s="49"/>
    </row>
    <row r="293" spans="1:12" ht="15.75" hidden="1">
      <c r="A293" s="69"/>
      <c r="B293" s="25" t="s">
        <v>187</v>
      </c>
      <c r="C293" s="150" t="s">
        <v>151</v>
      </c>
      <c r="D293" s="121">
        <f>150+I293</f>
        <v>0</v>
      </c>
      <c r="E293" s="166"/>
      <c r="F293" s="132"/>
      <c r="G293" s="132"/>
      <c r="H293" s="132"/>
      <c r="I293" s="163">
        <v>-150</v>
      </c>
      <c r="J293" s="132"/>
      <c r="K293" s="132"/>
      <c r="L293" s="49"/>
    </row>
    <row r="294" spans="1:12" ht="15.75">
      <c r="A294" s="69"/>
      <c r="B294" s="25" t="s">
        <v>156</v>
      </c>
      <c r="C294" s="150" t="s">
        <v>151</v>
      </c>
      <c r="D294" s="121">
        <f>120+I294</f>
        <v>258.7</v>
      </c>
      <c r="E294" s="166"/>
      <c r="F294" s="132"/>
      <c r="G294" s="132"/>
      <c r="H294" s="132"/>
      <c r="I294" s="163">
        <v>138.7</v>
      </c>
      <c r="J294" s="132"/>
      <c r="K294" s="132"/>
      <c r="L294" s="49">
        <v>245.3</v>
      </c>
    </row>
    <row r="295" spans="1:12" ht="15.75">
      <c r="A295" s="69"/>
      <c r="B295" s="25" t="s">
        <v>157</v>
      </c>
      <c r="C295" s="150" t="s">
        <v>151</v>
      </c>
      <c r="D295" s="121">
        <f>180+I295</f>
        <v>431.3</v>
      </c>
      <c r="E295" s="166"/>
      <c r="F295" s="132"/>
      <c r="G295" s="132"/>
      <c r="H295" s="132"/>
      <c r="I295" s="163">
        <v>251.3</v>
      </c>
      <c r="J295" s="132"/>
      <c r="K295" s="132"/>
      <c r="L295" s="49">
        <v>430.3</v>
      </c>
    </row>
    <row r="296" spans="1:12" ht="31.5">
      <c r="A296" s="69"/>
      <c r="B296" s="25" t="s">
        <v>158</v>
      </c>
      <c r="C296" s="150" t="s">
        <v>159</v>
      </c>
      <c r="D296" s="121">
        <v>760</v>
      </c>
      <c r="E296" s="166"/>
      <c r="F296" s="132"/>
      <c r="G296" s="132"/>
      <c r="H296" s="132"/>
      <c r="I296" s="132"/>
      <c r="J296" s="132"/>
      <c r="K296" s="132"/>
      <c r="L296" s="49">
        <v>645.9</v>
      </c>
    </row>
    <row r="297" spans="1:12" ht="44.25" customHeight="1">
      <c r="A297" s="69"/>
      <c r="B297" s="25" t="s">
        <v>160</v>
      </c>
      <c r="C297" s="150" t="s">
        <v>260</v>
      </c>
      <c r="D297" s="121">
        <v>500</v>
      </c>
      <c r="E297" s="166"/>
      <c r="F297" s="132"/>
      <c r="G297" s="132"/>
      <c r="H297" s="132"/>
      <c r="I297" s="132"/>
      <c r="J297" s="132"/>
      <c r="K297" s="132"/>
      <c r="L297" s="49">
        <v>449</v>
      </c>
    </row>
    <row r="298" spans="1:12" ht="15.75" customHeight="1" hidden="1">
      <c r="A298" s="69"/>
      <c r="B298" s="25" t="s">
        <v>130</v>
      </c>
      <c r="C298" s="150" t="s">
        <v>131</v>
      </c>
      <c r="D298" s="121">
        <v>0</v>
      </c>
      <c r="E298" s="166" t="e">
        <f>#REF!+#REF!+#REF!+#REF!+#REF!+#REF!+#REF!+#REF!+#REF!</f>
        <v>#REF!</v>
      </c>
      <c r="F298" s="132"/>
      <c r="G298" s="132"/>
      <c r="H298" s="132"/>
      <c r="I298" s="132"/>
      <c r="J298" s="132"/>
      <c r="K298" s="132"/>
      <c r="L298" s="49"/>
    </row>
    <row r="299" spans="1:12" ht="15.75" customHeight="1">
      <c r="A299" s="69"/>
      <c r="B299" s="25" t="s">
        <v>410</v>
      </c>
      <c r="C299" s="150" t="s">
        <v>411</v>
      </c>
      <c r="D299" s="121">
        <f>+I299</f>
        <v>66.1</v>
      </c>
      <c r="E299" s="166"/>
      <c r="F299" s="132"/>
      <c r="G299" s="132"/>
      <c r="H299" s="132"/>
      <c r="I299" s="132">
        <v>66.1</v>
      </c>
      <c r="J299" s="132"/>
      <c r="K299" s="132"/>
      <c r="L299" s="49">
        <v>60</v>
      </c>
    </row>
    <row r="300" spans="1:12" ht="31.5" customHeight="1">
      <c r="A300" s="69"/>
      <c r="B300" s="25" t="s">
        <v>461</v>
      </c>
      <c r="C300" s="150" t="s">
        <v>248</v>
      </c>
      <c r="D300" s="121">
        <v>210</v>
      </c>
      <c r="E300" s="166"/>
      <c r="F300" s="132"/>
      <c r="G300" s="132"/>
      <c r="H300" s="132"/>
      <c r="I300" s="132"/>
      <c r="J300" s="132"/>
      <c r="K300" s="132"/>
      <c r="L300" s="49">
        <v>71.4</v>
      </c>
    </row>
    <row r="301" spans="1:12" ht="15.75">
      <c r="A301" s="69"/>
      <c r="B301" s="196" t="s">
        <v>135</v>
      </c>
      <c r="C301" s="197"/>
      <c r="D301" s="121">
        <v>687</v>
      </c>
      <c r="E301" s="166"/>
      <c r="F301" s="132"/>
      <c r="G301" s="132"/>
      <c r="H301" s="132"/>
      <c r="I301" s="132"/>
      <c r="J301" s="132"/>
      <c r="K301" s="132"/>
      <c r="L301" s="49">
        <v>687</v>
      </c>
    </row>
    <row r="302" spans="1:12" ht="15.75">
      <c r="A302" s="69"/>
      <c r="B302" s="26" t="s">
        <v>161</v>
      </c>
      <c r="C302" s="150"/>
      <c r="D302" s="121">
        <f>SUM(D303:D307)</f>
        <v>848.4</v>
      </c>
      <c r="E302" s="166"/>
      <c r="F302" s="132"/>
      <c r="G302" s="132"/>
      <c r="H302" s="132"/>
      <c r="I302" s="132"/>
      <c r="J302" s="132"/>
      <c r="K302" s="132"/>
      <c r="L302" s="121">
        <f>SUM(L303:L307)</f>
        <v>680.9</v>
      </c>
    </row>
    <row r="303" spans="1:12" ht="31.5">
      <c r="A303" s="69"/>
      <c r="B303" s="25" t="s">
        <v>162</v>
      </c>
      <c r="C303" s="151" t="s">
        <v>351</v>
      </c>
      <c r="D303" s="121">
        <f>256.4+I303</f>
        <v>207.39999999999998</v>
      </c>
      <c r="E303" s="166"/>
      <c r="F303" s="132"/>
      <c r="G303" s="132"/>
      <c r="H303" s="132"/>
      <c r="I303" s="132">
        <v>-49</v>
      </c>
      <c r="J303" s="132"/>
      <c r="K303" s="132"/>
      <c r="L303" s="49">
        <v>198.9</v>
      </c>
    </row>
    <row r="304" spans="1:12" ht="30" customHeight="1">
      <c r="A304" s="69"/>
      <c r="B304" s="25" t="s">
        <v>163</v>
      </c>
      <c r="C304" s="151" t="s">
        <v>164</v>
      </c>
      <c r="D304" s="121">
        <v>146</v>
      </c>
      <c r="E304" s="166"/>
      <c r="F304" s="132"/>
      <c r="G304" s="132"/>
      <c r="H304" s="132"/>
      <c r="I304" s="132"/>
      <c r="J304" s="132"/>
      <c r="K304" s="132"/>
      <c r="L304" s="49">
        <v>28</v>
      </c>
    </row>
    <row r="305" spans="1:12" ht="15.75" customHeight="1" hidden="1">
      <c r="A305" s="69"/>
      <c r="B305" s="25" t="s">
        <v>130</v>
      </c>
      <c r="C305" s="150" t="s">
        <v>131</v>
      </c>
      <c r="D305" s="121">
        <v>0</v>
      </c>
      <c r="E305" s="166"/>
      <c r="F305" s="132"/>
      <c r="G305" s="132"/>
      <c r="H305" s="132"/>
      <c r="I305" s="132"/>
      <c r="J305" s="132"/>
      <c r="K305" s="132"/>
      <c r="L305" s="49"/>
    </row>
    <row r="306" spans="1:12" ht="63.75" customHeight="1">
      <c r="A306" s="69"/>
      <c r="B306" s="74" t="s">
        <v>490</v>
      </c>
      <c r="C306" s="150" t="s">
        <v>255</v>
      </c>
      <c r="D306" s="121">
        <v>195</v>
      </c>
      <c r="E306" s="170"/>
      <c r="F306" s="132"/>
      <c r="G306" s="132"/>
      <c r="H306" s="132"/>
      <c r="I306" s="132"/>
      <c r="J306" s="132"/>
      <c r="K306" s="132"/>
      <c r="L306" s="49">
        <v>154</v>
      </c>
    </row>
    <row r="307" spans="1:12" ht="15.75">
      <c r="A307" s="69"/>
      <c r="B307" s="196" t="s">
        <v>135</v>
      </c>
      <c r="C307" s="197"/>
      <c r="D307" s="121">
        <v>300</v>
      </c>
      <c r="E307" s="166"/>
      <c r="F307" s="132"/>
      <c r="G307" s="132"/>
      <c r="H307" s="132"/>
      <c r="I307" s="132"/>
      <c r="J307" s="132"/>
      <c r="K307" s="132"/>
      <c r="L307" s="49">
        <v>300</v>
      </c>
    </row>
    <row r="308" spans="1:12" s="131" customFormat="1" ht="15.75">
      <c r="A308" s="66" t="s">
        <v>300</v>
      </c>
      <c r="B308" s="190" t="s">
        <v>439</v>
      </c>
      <c r="C308" s="191"/>
      <c r="D308" s="120">
        <f>+K308</f>
        <v>3113.7</v>
      </c>
      <c r="E308" s="166"/>
      <c r="F308" s="135"/>
      <c r="G308" s="135"/>
      <c r="H308" s="135"/>
      <c r="I308" s="135"/>
      <c r="J308" s="135"/>
      <c r="K308" s="136">
        <v>3113.7</v>
      </c>
      <c r="L308" s="6">
        <v>3113.7</v>
      </c>
    </row>
    <row r="309" spans="1:12" ht="16.5" customHeight="1">
      <c r="A309" s="66" t="s">
        <v>301</v>
      </c>
      <c r="B309" s="190" t="s">
        <v>262</v>
      </c>
      <c r="C309" s="191"/>
      <c r="D309" s="120">
        <v>400</v>
      </c>
      <c r="E309" s="166"/>
      <c r="F309" s="132"/>
      <c r="G309" s="132"/>
      <c r="H309" s="132"/>
      <c r="I309" s="132"/>
      <c r="J309" s="132"/>
      <c r="K309" s="132"/>
      <c r="L309" s="6">
        <v>369.9</v>
      </c>
    </row>
    <row r="310" spans="1:12" ht="30" customHeight="1">
      <c r="A310" s="66" t="s">
        <v>304</v>
      </c>
      <c r="B310" s="190" t="s">
        <v>407</v>
      </c>
      <c r="C310" s="191"/>
      <c r="D310" s="120">
        <f>D311+D323+D350</f>
        <v>27565.5</v>
      </c>
      <c r="E310" s="166"/>
      <c r="F310" s="132"/>
      <c r="G310" s="132"/>
      <c r="H310" s="132"/>
      <c r="I310" s="132"/>
      <c r="J310" s="132"/>
      <c r="K310" s="132"/>
      <c r="L310" s="120">
        <f>L311+L323+L350</f>
        <v>26255</v>
      </c>
    </row>
    <row r="311" spans="1:12" ht="31.5">
      <c r="A311" s="66" t="s">
        <v>441</v>
      </c>
      <c r="B311" s="24" t="s">
        <v>173</v>
      </c>
      <c r="C311" s="106"/>
      <c r="D311" s="120">
        <f>SUM(D312:D322)</f>
        <v>3269.6000000000004</v>
      </c>
      <c r="E311" s="166"/>
      <c r="F311" s="132"/>
      <c r="G311" s="132"/>
      <c r="H311" s="132"/>
      <c r="I311" s="132"/>
      <c r="J311" s="132"/>
      <c r="K311" s="132"/>
      <c r="L311" s="120">
        <f>SUM(L312:L322)</f>
        <v>2480.8</v>
      </c>
    </row>
    <row r="312" spans="1:12" ht="15.75" hidden="1">
      <c r="A312" s="69"/>
      <c r="B312" s="25" t="s">
        <v>174</v>
      </c>
      <c r="C312" s="150"/>
      <c r="D312" s="121">
        <f>300+K312</f>
        <v>0</v>
      </c>
      <c r="E312" s="166"/>
      <c r="F312" s="132"/>
      <c r="G312" s="132"/>
      <c r="H312" s="132"/>
      <c r="I312" s="132"/>
      <c r="J312" s="132"/>
      <c r="K312" s="132">
        <v>-300</v>
      </c>
      <c r="L312" s="49"/>
    </row>
    <row r="313" spans="1:12" ht="32.25" customHeight="1">
      <c r="A313" s="69"/>
      <c r="B313" s="25" t="s">
        <v>175</v>
      </c>
      <c r="C313" s="150"/>
      <c r="D313" s="121">
        <f>100+I313+K313</f>
        <v>100</v>
      </c>
      <c r="E313" s="132"/>
      <c r="F313" s="132"/>
      <c r="G313" s="132"/>
      <c r="H313" s="132"/>
      <c r="I313" s="132">
        <v>123.6</v>
      </c>
      <c r="J313" s="132"/>
      <c r="K313" s="132">
        <v>-123.6</v>
      </c>
      <c r="L313" s="49">
        <v>97.2</v>
      </c>
    </row>
    <row r="314" spans="1:12" ht="75.75" customHeight="1">
      <c r="A314" s="69"/>
      <c r="B314" s="25" t="s">
        <v>459</v>
      </c>
      <c r="C314" s="150"/>
      <c r="D314" s="121">
        <f>600+I314+K314</f>
        <v>100</v>
      </c>
      <c r="E314" s="132"/>
      <c r="F314" s="132"/>
      <c r="G314" s="132"/>
      <c r="H314" s="132"/>
      <c r="I314" s="132">
        <v>-97.8</v>
      </c>
      <c r="J314" s="132"/>
      <c r="K314" s="132">
        <v>-402.2</v>
      </c>
      <c r="L314" s="49">
        <v>99.9</v>
      </c>
    </row>
    <row r="315" spans="1:12" ht="78.75">
      <c r="A315" s="69"/>
      <c r="B315" s="25" t="s">
        <v>440</v>
      </c>
      <c r="C315" s="150"/>
      <c r="D315" s="121">
        <f>+I315+K315</f>
        <v>1984</v>
      </c>
      <c r="E315" s="132"/>
      <c r="F315" s="132"/>
      <c r="G315" s="132"/>
      <c r="H315" s="132"/>
      <c r="I315" s="132">
        <v>675.9</v>
      </c>
      <c r="J315" s="132"/>
      <c r="K315" s="134">
        <v>1308.1</v>
      </c>
      <c r="L315" s="49">
        <v>1983.8</v>
      </c>
    </row>
    <row r="316" spans="1:12" ht="78" customHeight="1">
      <c r="A316" s="69"/>
      <c r="B316" s="25" t="s">
        <v>412</v>
      </c>
      <c r="C316" s="150"/>
      <c r="D316" s="121">
        <f>+I316</f>
        <v>365</v>
      </c>
      <c r="E316" s="132"/>
      <c r="F316" s="132"/>
      <c r="G316" s="132"/>
      <c r="H316" s="132"/>
      <c r="I316" s="163">
        <v>365</v>
      </c>
      <c r="J316" s="132"/>
      <c r="K316" s="132"/>
      <c r="L316" s="49">
        <v>100</v>
      </c>
    </row>
    <row r="317" spans="1:12" ht="63">
      <c r="A317" s="69"/>
      <c r="B317" s="25" t="s">
        <v>483</v>
      </c>
      <c r="C317" s="150"/>
      <c r="D317" s="121">
        <f>+I317</f>
        <v>500</v>
      </c>
      <c r="E317" s="132"/>
      <c r="F317" s="132"/>
      <c r="G317" s="132"/>
      <c r="H317" s="132"/>
      <c r="I317" s="163">
        <v>500</v>
      </c>
      <c r="J317" s="132"/>
      <c r="K317" s="132"/>
      <c r="L317" s="49">
        <v>88.2</v>
      </c>
    </row>
    <row r="318" spans="1:12" ht="76.5" customHeight="1">
      <c r="A318" s="69"/>
      <c r="B318" s="25" t="s">
        <v>491</v>
      </c>
      <c r="C318" s="150"/>
      <c r="D318" s="121">
        <f>+I318+K318</f>
        <v>64.80000000000001</v>
      </c>
      <c r="E318" s="132"/>
      <c r="F318" s="132"/>
      <c r="G318" s="132"/>
      <c r="H318" s="132"/>
      <c r="I318" s="163">
        <v>201.4</v>
      </c>
      <c r="J318" s="132"/>
      <c r="K318" s="132">
        <v>-136.6</v>
      </c>
      <c r="L318" s="49">
        <v>64.8</v>
      </c>
    </row>
    <row r="319" spans="1:12" ht="78" customHeight="1" hidden="1">
      <c r="A319" s="69"/>
      <c r="B319" s="25" t="s">
        <v>413</v>
      </c>
      <c r="C319" s="150"/>
      <c r="D319" s="121">
        <f>+I319+K319</f>
        <v>0</v>
      </c>
      <c r="E319" s="132"/>
      <c r="F319" s="132"/>
      <c r="G319" s="132"/>
      <c r="H319" s="132"/>
      <c r="I319" s="163">
        <v>345.7</v>
      </c>
      <c r="J319" s="132"/>
      <c r="K319" s="132">
        <v>-345.7</v>
      </c>
      <c r="L319" s="49"/>
    </row>
    <row r="320" spans="1:12" ht="47.25">
      <c r="A320" s="69"/>
      <c r="B320" s="25" t="s">
        <v>414</v>
      </c>
      <c r="C320" s="150"/>
      <c r="D320" s="121">
        <f>+I320</f>
        <v>95.8</v>
      </c>
      <c r="E320" s="132"/>
      <c r="F320" s="132"/>
      <c r="G320" s="132"/>
      <c r="H320" s="132"/>
      <c r="I320" s="163">
        <v>95.8</v>
      </c>
      <c r="J320" s="132"/>
      <c r="K320" s="132"/>
      <c r="L320" s="49">
        <v>46.9</v>
      </c>
    </row>
    <row r="321" spans="1:12" ht="111" customHeight="1" hidden="1">
      <c r="A321" s="69"/>
      <c r="B321" s="25" t="s">
        <v>348</v>
      </c>
      <c r="C321" s="150"/>
      <c r="D321" s="121">
        <f>2209.6+I321</f>
        <v>0</v>
      </c>
      <c r="E321" s="132"/>
      <c r="F321" s="132"/>
      <c r="G321" s="132"/>
      <c r="H321" s="132"/>
      <c r="I321" s="163">
        <v>-2209.6</v>
      </c>
      <c r="J321" s="132"/>
      <c r="K321" s="132"/>
      <c r="L321" s="49"/>
    </row>
    <row r="322" spans="1:12" ht="62.25" customHeight="1">
      <c r="A322" s="69"/>
      <c r="B322" s="74" t="s">
        <v>263</v>
      </c>
      <c r="C322" s="153"/>
      <c r="D322" s="121">
        <v>60</v>
      </c>
      <c r="E322" s="171"/>
      <c r="F322" s="132"/>
      <c r="G322" s="132"/>
      <c r="H322" s="132"/>
      <c r="I322" s="132"/>
      <c r="J322" s="132"/>
      <c r="K322" s="132"/>
      <c r="L322" s="49">
        <v>0</v>
      </c>
    </row>
    <row r="323" spans="1:12" ht="61.5" customHeight="1">
      <c r="A323" s="66" t="s">
        <v>444</v>
      </c>
      <c r="B323" s="24" t="s">
        <v>378</v>
      </c>
      <c r="C323" s="106"/>
      <c r="D323" s="120">
        <f>SUM(D324:D349)</f>
        <v>24135.899999999998</v>
      </c>
      <c r="E323" s="132"/>
      <c r="F323" s="132"/>
      <c r="G323" s="132"/>
      <c r="H323" s="132"/>
      <c r="I323" s="132"/>
      <c r="J323" s="132"/>
      <c r="K323" s="132"/>
      <c r="L323" s="120">
        <f>SUM(L324:L349)</f>
        <v>23774.2</v>
      </c>
    </row>
    <row r="324" spans="1:12" ht="45.75" customHeight="1">
      <c r="A324" s="69"/>
      <c r="B324" s="25" t="s">
        <v>463</v>
      </c>
      <c r="C324" s="150"/>
      <c r="D324" s="121">
        <f>+I324</f>
        <v>173.4</v>
      </c>
      <c r="E324" s="132"/>
      <c r="F324" s="132"/>
      <c r="G324" s="132"/>
      <c r="H324" s="132"/>
      <c r="I324" s="172">
        <v>173.4</v>
      </c>
      <c r="J324" s="132"/>
      <c r="K324" s="132"/>
      <c r="L324" s="49">
        <v>173.3</v>
      </c>
    </row>
    <row r="325" spans="1:12" ht="61.5" customHeight="1">
      <c r="A325" s="69"/>
      <c r="B325" s="25" t="s">
        <v>436</v>
      </c>
      <c r="C325" s="150"/>
      <c r="D325" s="121">
        <f>+I325+K325</f>
        <v>155.9</v>
      </c>
      <c r="E325" s="132"/>
      <c r="F325" s="132"/>
      <c r="G325" s="132"/>
      <c r="H325" s="132"/>
      <c r="I325" s="172">
        <v>168.6</v>
      </c>
      <c r="J325" s="132"/>
      <c r="K325" s="132">
        <v>-12.7</v>
      </c>
      <c r="L325" s="49">
        <v>155.8</v>
      </c>
    </row>
    <row r="326" spans="1:12" ht="45.75" customHeight="1">
      <c r="A326" s="66"/>
      <c r="B326" s="25" t="s">
        <v>433</v>
      </c>
      <c r="C326" s="106"/>
      <c r="D326" s="121">
        <f>+I326</f>
        <v>1000</v>
      </c>
      <c r="E326" s="132"/>
      <c r="F326" s="132"/>
      <c r="G326" s="132"/>
      <c r="H326" s="132"/>
      <c r="I326" s="163">
        <v>1000</v>
      </c>
      <c r="J326" s="132"/>
      <c r="K326" s="132"/>
      <c r="L326" s="49">
        <v>1000</v>
      </c>
    </row>
    <row r="327" spans="1:12" ht="33.75" customHeight="1">
      <c r="A327" s="69"/>
      <c r="B327" s="79" t="s">
        <v>178</v>
      </c>
      <c r="C327" s="150"/>
      <c r="D327" s="121">
        <v>500</v>
      </c>
      <c r="E327" s="132"/>
      <c r="F327" s="132"/>
      <c r="G327" s="132"/>
      <c r="H327" s="132"/>
      <c r="I327" s="132"/>
      <c r="J327" s="132"/>
      <c r="K327" s="132"/>
      <c r="L327" s="49">
        <v>500</v>
      </c>
    </row>
    <row r="328" spans="1:12" ht="60" customHeight="1">
      <c r="A328" s="69"/>
      <c r="B328" s="25" t="s">
        <v>352</v>
      </c>
      <c r="C328" s="150"/>
      <c r="D328" s="121">
        <f>3000+938+J328+K328</f>
        <v>5210.099999999999</v>
      </c>
      <c r="E328" s="132"/>
      <c r="F328" s="132"/>
      <c r="G328" s="132"/>
      <c r="H328" s="132"/>
      <c r="I328" s="132"/>
      <c r="J328" s="132">
        <v>712.4</v>
      </c>
      <c r="K328" s="132">
        <f>134.7+425</f>
        <v>559.7</v>
      </c>
      <c r="L328" s="49">
        <v>5181</v>
      </c>
    </row>
    <row r="329" spans="1:12" ht="47.25" hidden="1">
      <c r="A329" s="69"/>
      <c r="B329" s="25" t="s">
        <v>438</v>
      </c>
      <c r="C329" s="150"/>
      <c r="D329" s="121">
        <f>+J329+K329</f>
        <v>0</v>
      </c>
      <c r="E329" s="132"/>
      <c r="F329" s="132"/>
      <c r="G329" s="132"/>
      <c r="H329" s="132"/>
      <c r="I329" s="132"/>
      <c r="J329" s="132">
        <v>60</v>
      </c>
      <c r="K329" s="132">
        <v>-60</v>
      </c>
      <c r="L329" s="49"/>
    </row>
    <row r="330" spans="1:12" ht="31.5">
      <c r="A330" s="69"/>
      <c r="B330" s="25" t="s">
        <v>264</v>
      </c>
      <c r="C330" s="150"/>
      <c r="D330" s="121">
        <v>60</v>
      </c>
      <c r="E330" s="132"/>
      <c r="F330" s="132"/>
      <c r="G330" s="132"/>
      <c r="H330" s="132"/>
      <c r="I330" s="132"/>
      <c r="J330" s="132"/>
      <c r="K330" s="132"/>
      <c r="L330" s="49">
        <v>60</v>
      </c>
    </row>
    <row r="331" spans="1:12" ht="31.5">
      <c r="A331" s="69"/>
      <c r="B331" s="25" t="s">
        <v>265</v>
      </c>
      <c r="C331" s="150"/>
      <c r="D331" s="121">
        <v>100</v>
      </c>
      <c r="E331" s="132"/>
      <c r="F331" s="132"/>
      <c r="G331" s="132"/>
      <c r="H331" s="132"/>
      <c r="I331" s="132"/>
      <c r="J331" s="132"/>
      <c r="K331" s="132"/>
      <c r="L331" s="49">
        <v>100</v>
      </c>
    </row>
    <row r="332" spans="1:12" ht="93.75" customHeight="1">
      <c r="A332" s="69"/>
      <c r="B332" s="25" t="s">
        <v>489</v>
      </c>
      <c r="C332" s="150"/>
      <c r="D332" s="121">
        <v>6000</v>
      </c>
      <c r="E332" s="132"/>
      <c r="F332" s="132"/>
      <c r="G332" s="132"/>
      <c r="H332" s="132"/>
      <c r="I332" s="132"/>
      <c r="J332" s="132"/>
      <c r="K332" s="132"/>
      <c r="L332" s="49">
        <v>5999.9</v>
      </c>
    </row>
    <row r="333" spans="1:12" ht="75.75" customHeight="1" hidden="1">
      <c r="A333" s="69"/>
      <c r="B333" s="25" t="s">
        <v>377</v>
      </c>
      <c r="C333" s="150"/>
      <c r="D333" s="121">
        <f>1300+H333</f>
        <v>0</v>
      </c>
      <c r="E333" s="132"/>
      <c r="F333" s="132"/>
      <c r="G333" s="132"/>
      <c r="H333" s="132">
        <v>-1300</v>
      </c>
      <c r="I333" s="132"/>
      <c r="J333" s="132"/>
      <c r="K333" s="132"/>
      <c r="L333" s="49"/>
    </row>
    <row r="334" spans="1:12" ht="31.5">
      <c r="A334" s="69"/>
      <c r="B334" s="25" t="s">
        <v>189</v>
      </c>
      <c r="C334" s="150"/>
      <c r="D334" s="121">
        <f>1650+K334</f>
        <v>1515.3</v>
      </c>
      <c r="E334" s="132"/>
      <c r="F334" s="132"/>
      <c r="G334" s="132"/>
      <c r="H334" s="132"/>
      <c r="I334" s="132"/>
      <c r="J334" s="132"/>
      <c r="K334" s="132">
        <v>-134.7</v>
      </c>
      <c r="L334" s="49">
        <v>1515.3</v>
      </c>
    </row>
    <row r="335" spans="1:12" ht="46.5" customHeight="1">
      <c r="A335" s="69"/>
      <c r="B335" s="25" t="s">
        <v>190</v>
      </c>
      <c r="C335" s="150"/>
      <c r="D335" s="121">
        <v>1860</v>
      </c>
      <c r="E335" s="132"/>
      <c r="F335" s="132"/>
      <c r="G335" s="132"/>
      <c r="H335" s="132"/>
      <c r="I335" s="132"/>
      <c r="J335" s="132"/>
      <c r="K335" s="132"/>
      <c r="L335" s="49">
        <v>1860</v>
      </c>
    </row>
    <row r="336" spans="1:12" ht="45" customHeight="1">
      <c r="A336" s="69"/>
      <c r="B336" s="25" t="s">
        <v>492</v>
      </c>
      <c r="C336" s="150"/>
      <c r="D336" s="121">
        <f>888+H336</f>
        <v>889</v>
      </c>
      <c r="E336" s="132"/>
      <c r="F336" s="132"/>
      <c r="G336" s="132"/>
      <c r="H336" s="132">
        <v>1</v>
      </c>
      <c r="I336" s="132"/>
      <c r="J336" s="132"/>
      <c r="K336" s="132"/>
      <c r="L336" s="49">
        <v>889</v>
      </c>
    </row>
    <row r="337" spans="1:12" ht="15.75" hidden="1">
      <c r="A337" s="69"/>
      <c r="B337" s="25" t="s">
        <v>192</v>
      </c>
      <c r="C337" s="150"/>
      <c r="D337" s="121">
        <f>650+J337</f>
        <v>0</v>
      </c>
      <c r="E337" s="132"/>
      <c r="F337" s="132"/>
      <c r="G337" s="132"/>
      <c r="H337" s="132"/>
      <c r="I337" s="132"/>
      <c r="J337" s="132">
        <v>-650</v>
      </c>
      <c r="K337" s="132"/>
      <c r="L337" s="49"/>
    </row>
    <row r="338" spans="1:12" ht="31.5">
      <c r="A338" s="69"/>
      <c r="B338" s="25" t="s">
        <v>458</v>
      </c>
      <c r="C338" s="150"/>
      <c r="D338" s="121">
        <f>+J338</f>
        <v>337.6</v>
      </c>
      <c r="E338" s="132"/>
      <c r="F338" s="132"/>
      <c r="G338" s="132"/>
      <c r="H338" s="132"/>
      <c r="I338" s="132"/>
      <c r="J338" s="132">
        <v>337.6</v>
      </c>
      <c r="K338" s="132"/>
      <c r="L338" s="49">
        <v>337.6</v>
      </c>
    </row>
    <row r="339" spans="1:12" ht="43.5" customHeight="1">
      <c r="A339" s="69"/>
      <c r="B339" s="25" t="s">
        <v>193</v>
      </c>
      <c r="C339" s="150"/>
      <c r="D339" s="121">
        <f>1852+H339+J339</f>
        <v>1652</v>
      </c>
      <c r="E339" s="132"/>
      <c r="F339" s="132"/>
      <c r="G339" s="132"/>
      <c r="H339" s="132">
        <f>-200+200</f>
        <v>0</v>
      </c>
      <c r="I339" s="132"/>
      <c r="J339" s="132">
        <v>-200</v>
      </c>
      <c r="K339" s="132"/>
      <c r="L339" s="49">
        <v>1652</v>
      </c>
    </row>
    <row r="340" spans="1:12" ht="30.75" customHeight="1">
      <c r="A340" s="69"/>
      <c r="B340" s="55" t="s">
        <v>372</v>
      </c>
      <c r="C340" s="150"/>
      <c r="D340" s="121">
        <f>2800-800+H340+J340</f>
        <v>1800</v>
      </c>
      <c r="E340" s="132"/>
      <c r="F340" s="132"/>
      <c r="G340" s="132"/>
      <c r="H340" s="132">
        <f>-200+200</f>
        <v>0</v>
      </c>
      <c r="I340" s="132"/>
      <c r="J340" s="132">
        <v>-200</v>
      </c>
      <c r="K340" s="132"/>
      <c r="L340" s="49">
        <v>1800</v>
      </c>
    </row>
    <row r="341" spans="1:12" ht="31.5" customHeight="1">
      <c r="A341" s="69"/>
      <c r="B341" s="25" t="s">
        <v>298</v>
      </c>
      <c r="C341" s="150"/>
      <c r="D341" s="121">
        <f>200+H341</f>
        <v>199</v>
      </c>
      <c r="E341" s="132"/>
      <c r="F341" s="132"/>
      <c r="G341" s="132"/>
      <c r="H341" s="132">
        <v>-1</v>
      </c>
      <c r="I341" s="132"/>
      <c r="J341" s="132"/>
      <c r="K341" s="132"/>
      <c r="L341" s="49">
        <v>0</v>
      </c>
    </row>
    <row r="342" spans="1:12" ht="63" hidden="1">
      <c r="A342" s="69"/>
      <c r="B342" s="25" t="s">
        <v>408</v>
      </c>
      <c r="C342" s="150"/>
      <c r="D342" s="121">
        <f>H342</f>
        <v>0</v>
      </c>
      <c r="E342" s="132"/>
      <c r="F342" s="132"/>
      <c r="G342" s="132"/>
      <c r="H342" s="132">
        <f>400-400</f>
        <v>0</v>
      </c>
      <c r="I342" s="132"/>
      <c r="J342" s="132"/>
      <c r="K342" s="132"/>
      <c r="L342" s="49"/>
    </row>
    <row r="343" spans="1:12" ht="46.5" customHeight="1">
      <c r="A343" s="69"/>
      <c r="B343" s="55" t="s">
        <v>406</v>
      </c>
      <c r="C343" s="150"/>
      <c r="D343" s="121">
        <f>H343</f>
        <v>199.2</v>
      </c>
      <c r="E343" s="132"/>
      <c r="F343" s="132"/>
      <c r="G343" s="132"/>
      <c r="H343" s="132">
        <v>199.2</v>
      </c>
      <c r="I343" s="132"/>
      <c r="J343" s="132"/>
      <c r="K343" s="132"/>
      <c r="L343" s="49">
        <v>199.2</v>
      </c>
    </row>
    <row r="344" spans="1:12" ht="48.75" customHeight="1">
      <c r="A344" s="69"/>
      <c r="B344" s="55" t="s">
        <v>176</v>
      </c>
      <c r="C344" s="150"/>
      <c r="D344" s="121">
        <f>500+J344+K344</f>
        <v>507.5</v>
      </c>
      <c r="E344" s="132"/>
      <c r="F344" s="132"/>
      <c r="G344" s="132"/>
      <c r="H344" s="132"/>
      <c r="I344" s="132"/>
      <c r="J344" s="132">
        <v>-10</v>
      </c>
      <c r="K344" s="132">
        <v>17.5</v>
      </c>
      <c r="L344" s="49">
        <v>489.7</v>
      </c>
    </row>
    <row r="345" spans="1:12" ht="46.5" customHeight="1">
      <c r="A345" s="69"/>
      <c r="B345" s="25" t="s">
        <v>177</v>
      </c>
      <c r="C345" s="150"/>
      <c r="D345" s="121">
        <v>150</v>
      </c>
      <c r="E345" s="132"/>
      <c r="F345" s="132"/>
      <c r="G345" s="132"/>
      <c r="H345" s="132"/>
      <c r="I345" s="132"/>
      <c r="J345" s="132"/>
      <c r="K345" s="132"/>
      <c r="L345" s="49">
        <v>150</v>
      </c>
    </row>
    <row r="346" spans="1:12" ht="44.25" customHeight="1">
      <c r="A346" s="69"/>
      <c r="B346" s="25" t="s">
        <v>465</v>
      </c>
      <c r="C346" s="150"/>
      <c r="D346" s="121">
        <f>400+H346+I346</f>
        <v>709.3</v>
      </c>
      <c r="E346" s="132"/>
      <c r="F346" s="132"/>
      <c r="G346" s="132"/>
      <c r="H346" s="132">
        <v>410</v>
      </c>
      <c r="I346" s="132">
        <v>-100.7</v>
      </c>
      <c r="J346" s="132"/>
      <c r="K346" s="132"/>
      <c r="L346" s="49">
        <v>709.3</v>
      </c>
    </row>
    <row r="347" spans="1:12" ht="63">
      <c r="A347" s="69"/>
      <c r="B347" s="25" t="s">
        <v>466</v>
      </c>
      <c r="C347" s="150"/>
      <c r="D347" s="121">
        <f>300+H347+I347</f>
        <v>300.7</v>
      </c>
      <c r="E347" s="132"/>
      <c r="F347" s="132"/>
      <c r="G347" s="132"/>
      <c r="H347" s="132">
        <v>-100</v>
      </c>
      <c r="I347" s="132">
        <v>100.7</v>
      </c>
      <c r="J347" s="132"/>
      <c r="K347" s="132"/>
      <c r="L347" s="49">
        <v>200</v>
      </c>
    </row>
    <row r="348" spans="1:12" ht="16.5" customHeight="1">
      <c r="A348" s="69"/>
      <c r="B348" s="25" t="s">
        <v>267</v>
      </c>
      <c r="C348" s="150"/>
      <c r="D348" s="121">
        <v>400</v>
      </c>
      <c r="E348" s="132"/>
      <c r="F348" s="132"/>
      <c r="G348" s="132"/>
      <c r="H348" s="132"/>
      <c r="I348" s="132"/>
      <c r="J348" s="132"/>
      <c r="K348" s="132"/>
      <c r="L348" s="49">
        <v>385.4</v>
      </c>
    </row>
    <row r="349" spans="1:12" ht="31.5">
      <c r="A349" s="69"/>
      <c r="B349" s="25" t="s">
        <v>179</v>
      </c>
      <c r="C349" s="150"/>
      <c r="D349" s="121">
        <f>312+H349+I349</f>
        <v>416.90000000000003</v>
      </c>
      <c r="E349" s="132"/>
      <c r="F349" s="132"/>
      <c r="G349" s="132"/>
      <c r="H349" s="132">
        <v>52.6</v>
      </c>
      <c r="I349" s="132">
        <v>52.3</v>
      </c>
      <c r="J349" s="132"/>
      <c r="K349" s="132"/>
      <c r="L349" s="49">
        <v>416.7</v>
      </c>
    </row>
    <row r="350" spans="1:12" s="131" customFormat="1" ht="31.5">
      <c r="A350" s="146" t="s">
        <v>445</v>
      </c>
      <c r="B350" s="192" t="s">
        <v>443</v>
      </c>
      <c r="C350" s="203"/>
      <c r="D350" s="120">
        <f>D351</f>
        <v>160</v>
      </c>
      <c r="E350" s="135"/>
      <c r="F350" s="135"/>
      <c r="G350" s="135"/>
      <c r="H350" s="135"/>
      <c r="I350" s="135"/>
      <c r="J350" s="135"/>
      <c r="K350" s="135"/>
      <c r="L350" s="120">
        <f>L351</f>
        <v>0</v>
      </c>
    </row>
    <row r="351" spans="1:12" ht="63">
      <c r="A351" s="69"/>
      <c r="B351" s="25" t="s">
        <v>484</v>
      </c>
      <c r="C351" s="150"/>
      <c r="D351" s="121">
        <f>+K351</f>
        <v>160</v>
      </c>
      <c r="E351" s="132"/>
      <c r="F351" s="132"/>
      <c r="G351" s="132"/>
      <c r="H351" s="132"/>
      <c r="I351" s="132"/>
      <c r="J351" s="132"/>
      <c r="K351" s="132">
        <v>160</v>
      </c>
      <c r="L351" s="49">
        <v>0</v>
      </c>
    </row>
    <row r="352" spans="1:12" ht="33" customHeight="1">
      <c r="A352" s="147" t="s">
        <v>442</v>
      </c>
      <c r="B352" s="188" t="s">
        <v>195</v>
      </c>
      <c r="C352" s="189"/>
      <c r="D352" s="120">
        <f>D353</f>
        <v>2180</v>
      </c>
      <c r="E352" s="132"/>
      <c r="F352" s="132"/>
      <c r="G352" s="132"/>
      <c r="H352" s="132"/>
      <c r="I352" s="132"/>
      <c r="J352" s="132"/>
      <c r="K352" s="132"/>
      <c r="L352" s="120">
        <f>L353</f>
        <v>2106.3</v>
      </c>
    </row>
    <row r="353" spans="1:12" ht="45" customHeight="1">
      <c r="A353" s="69"/>
      <c r="B353" s="25" t="s">
        <v>464</v>
      </c>
      <c r="C353" s="77"/>
      <c r="D353" s="121">
        <f>D355+D359</f>
        <v>2180</v>
      </c>
      <c r="E353" s="132"/>
      <c r="F353" s="132"/>
      <c r="G353" s="132"/>
      <c r="H353" s="132"/>
      <c r="I353" s="132"/>
      <c r="J353" s="132"/>
      <c r="K353" s="132"/>
      <c r="L353" s="121">
        <f>L355+L359</f>
        <v>2106.3</v>
      </c>
    </row>
    <row r="354" spans="1:12" ht="15.75" hidden="1">
      <c r="A354" s="80"/>
      <c r="B354" s="25" t="s">
        <v>180</v>
      </c>
      <c r="C354" s="150"/>
      <c r="D354" s="123"/>
      <c r="E354" s="132"/>
      <c r="F354" s="132"/>
      <c r="G354" s="132"/>
      <c r="H354" s="132"/>
      <c r="I354" s="132"/>
      <c r="J354" s="132"/>
      <c r="K354" s="132"/>
      <c r="L354" s="49"/>
    </row>
    <row r="355" spans="1:12" ht="15.75">
      <c r="A355" s="80"/>
      <c r="B355" s="25" t="s">
        <v>181</v>
      </c>
      <c r="C355" s="150"/>
      <c r="D355" s="123">
        <f>D356+D357+D358</f>
        <v>2030.0000000000002</v>
      </c>
      <c r="E355" s="132"/>
      <c r="F355" s="132"/>
      <c r="G355" s="132"/>
      <c r="H355" s="132"/>
      <c r="I355" s="132"/>
      <c r="J355" s="132"/>
      <c r="K355" s="132"/>
      <c r="L355" s="123">
        <f>L356+L357+L358</f>
        <v>2026.3</v>
      </c>
    </row>
    <row r="356" spans="1:12" ht="172.5" customHeight="1">
      <c r="A356" s="80"/>
      <c r="B356" s="55" t="s">
        <v>462</v>
      </c>
      <c r="C356" s="150" t="s">
        <v>182</v>
      </c>
      <c r="D356" s="123">
        <f>2099.3+I356+K356</f>
        <v>1779.3000000000002</v>
      </c>
      <c r="E356" s="132"/>
      <c r="F356" s="132"/>
      <c r="G356" s="132"/>
      <c r="H356" s="132"/>
      <c r="I356" s="173">
        <f>-700+700</f>
        <v>0</v>
      </c>
      <c r="J356" s="132"/>
      <c r="K356" s="132">
        <v>-320</v>
      </c>
      <c r="L356" s="49">
        <v>1775.7</v>
      </c>
    </row>
    <row r="357" spans="1:12" ht="31.5" customHeight="1">
      <c r="A357" s="80"/>
      <c r="B357" s="55" t="s">
        <v>379</v>
      </c>
      <c r="C357" s="150" t="s">
        <v>184</v>
      </c>
      <c r="D357" s="123">
        <v>134.5</v>
      </c>
      <c r="E357" s="132"/>
      <c r="F357" s="132"/>
      <c r="G357" s="132"/>
      <c r="H357" s="132"/>
      <c r="I357" s="132"/>
      <c r="J357" s="132"/>
      <c r="K357" s="132"/>
      <c r="L357" s="49">
        <v>134.5</v>
      </c>
    </row>
    <row r="358" spans="1:12" ht="111" customHeight="1">
      <c r="A358" s="80"/>
      <c r="B358" s="55" t="s">
        <v>395</v>
      </c>
      <c r="C358" s="150" t="s">
        <v>380</v>
      </c>
      <c r="D358" s="123">
        <v>116.2</v>
      </c>
      <c r="E358" s="132"/>
      <c r="F358" s="132"/>
      <c r="G358" s="132"/>
      <c r="H358" s="132"/>
      <c r="I358" s="132"/>
      <c r="J358" s="132"/>
      <c r="K358" s="132"/>
      <c r="L358" s="49">
        <v>116.1</v>
      </c>
    </row>
    <row r="359" spans="1:12" ht="45.75" customHeight="1">
      <c r="A359" s="141"/>
      <c r="B359" s="142" t="s">
        <v>185</v>
      </c>
      <c r="C359" s="154" t="s">
        <v>186</v>
      </c>
      <c r="D359" s="123">
        <v>150</v>
      </c>
      <c r="E359" s="132"/>
      <c r="F359" s="132"/>
      <c r="G359" s="132"/>
      <c r="H359" s="132"/>
      <c r="I359" s="132"/>
      <c r="J359" s="132"/>
      <c r="K359" s="132"/>
      <c r="L359" s="49">
        <v>80</v>
      </c>
    </row>
    <row r="360" spans="1:13" ht="15.75">
      <c r="A360" s="82" t="s">
        <v>396</v>
      </c>
      <c r="B360" s="4"/>
      <c r="C360" s="106"/>
      <c r="D360" s="124">
        <f>D186+D184</f>
        <v>88460.15</v>
      </c>
      <c r="E360" s="132"/>
      <c r="F360" s="83">
        <f>F186+F184</f>
        <v>-100</v>
      </c>
      <c r="G360" s="132"/>
      <c r="H360" s="132"/>
      <c r="I360" s="124">
        <f>I186+I184</f>
        <v>7745.2</v>
      </c>
      <c r="J360" s="124">
        <f>J186+J184</f>
        <v>4467</v>
      </c>
      <c r="K360" s="134">
        <f>K186+K184</f>
        <v>3777.1000000000004</v>
      </c>
      <c r="L360" s="124">
        <f>L186+L184</f>
        <v>80970.6</v>
      </c>
      <c r="M360" s="128">
        <v>80970</v>
      </c>
    </row>
    <row r="361" spans="1:12" ht="15.75">
      <c r="A361" s="145"/>
      <c r="B361" s="145"/>
      <c r="C361" s="145"/>
      <c r="D361" s="179"/>
      <c r="E361" s="179"/>
      <c r="F361" s="179"/>
      <c r="G361" s="179"/>
      <c r="H361" s="179"/>
      <c r="I361" s="179"/>
      <c r="J361" s="179"/>
      <c r="K361" s="179"/>
      <c r="L361" s="180"/>
    </row>
    <row r="362" spans="1:12" ht="30.75" customHeight="1">
      <c r="A362" s="195" t="s">
        <v>457</v>
      </c>
      <c r="B362" s="195"/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</row>
    <row r="363" spans="1:12" ht="31.5">
      <c r="A363" s="183" t="s">
        <v>270</v>
      </c>
      <c r="B363" s="34" t="s">
        <v>271</v>
      </c>
      <c r="C363" s="184" t="s">
        <v>272</v>
      </c>
      <c r="D363" s="185" t="s">
        <v>469</v>
      </c>
      <c r="E363" s="183"/>
      <c r="F363" s="132"/>
      <c r="G363" s="132"/>
      <c r="H363" s="132"/>
      <c r="I363" s="132"/>
      <c r="J363" s="132"/>
      <c r="K363" s="132"/>
      <c r="L363" s="148" t="s">
        <v>486</v>
      </c>
    </row>
    <row r="364" spans="1:12" ht="15.75">
      <c r="A364" s="143" t="s">
        <v>274</v>
      </c>
      <c r="B364" s="144" t="s">
        <v>485</v>
      </c>
      <c r="C364" s="155"/>
      <c r="D364" s="124">
        <f>SUM(D365:D368)</f>
        <v>490.7</v>
      </c>
      <c r="E364" s="132"/>
      <c r="F364" s="132"/>
      <c r="G364" s="132"/>
      <c r="H364" s="132"/>
      <c r="I364" s="132"/>
      <c r="J364" s="132"/>
      <c r="K364" s="132"/>
      <c r="L364" s="124">
        <f>SUM(L365:L368)</f>
        <v>486.69999999999993</v>
      </c>
    </row>
    <row r="365" spans="1:12" ht="29.25" customHeight="1">
      <c r="A365" s="42"/>
      <c r="B365" s="42" t="s">
        <v>276</v>
      </c>
      <c r="C365" s="150" t="s">
        <v>299</v>
      </c>
      <c r="D365" s="125">
        <v>179</v>
      </c>
      <c r="E365" s="132"/>
      <c r="F365" s="132"/>
      <c r="G365" s="132"/>
      <c r="H365" s="132"/>
      <c r="I365" s="132"/>
      <c r="J365" s="132"/>
      <c r="K365" s="132"/>
      <c r="L365" s="49">
        <v>178.6</v>
      </c>
    </row>
    <row r="366" spans="1:12" ht="31.5">
      <c r="A366" s="42"/>
      <c r="B366" s="42" t="s">
        <v>125</v>
      </c>
      <c r="C366" s="150" t="s">
        <v>416</v>
      </c>
      <c r="D366" s="125">
        <f>+I366</f>
        <v>147.7</v>
      </c>
      <c r="E366" s="132"/>
      <c r="F366" s="132"/>
      <c r="G366" s="132"/>
      <c r="H366" s="132"/>
      <c r="I366" s="132">
        <v>147.7</v>
      </c>
      <c r="J366" s="132"/>
      <c r="K366" s="132"/>
      <c r="L366" s="49">
        <v>147.7</v>
      </c>
    </row>
    <row r="367" spans="1:12" ht="15.75">
      <c r="A367" s="42"/>
      <c r="B367" s="42" t="s">
        <v>456</v>
      </c>
      <c r="C367" s="150" t="s">
        <v>417</v>
      </c>
      <c r="D367" s="125">
        <f>+I367</f>
        <v>144</v>
      </c>
      <c r="E367" s="132"/>
      <c r="F367" s="132"/>
      <c r="G367" s="132"/>
      <c r="H367" s="132"/>
      <c r="I367" s="132">
        <v>144</v>
      </c>
      <c r="J367" s="132"/>
      <c r="K367" s="132"/>
      <c r="L367" s="49">
        <v>144</v>
      </c>
    </row>
    <row r="368" spans="1:12" ht="15.75">
      <c r="A368" s="42"/>
      <c r="B368" s="42" t="s">
        <v>415</v>
      </c>
      <c r="C368" s="150" t="s">
        <v>418</v>
      </c>
      <c r="D368" s="125">
        <f>+I368</f>
        <v>20</v>
      </c>
      <c r="E368" s="132"/>
      <c r="F368" s="132"/>
      <c r="G368" s="132"/>
      <c r="H368" s="132"/>
      <c r="I368" s="132">
        <v>20</v>
      </c>
      <c r="J368" s="132"/>
      <c r="K368" s="132"/>
      <c r="L368" s="49">
        <v>16.4</v>
      </c>
    </row>
    <row r="369" spans="1:12" ht="15.75">
      <c r="A369" s="93" t="s">
        <v>277</v>
      </c>
      <c r="B369" s="82" t="s">
        <v>488</v>
      </c>
      <c r="C369" s="156"/>
      <c r="D369" s="124">
        <f>SUM(D370:D373)</f>
        <v>673.8</v>
      </c>
      <c r="E369" s="132"/>
      <c r="F369" s="132"/>
      <c r="G369" s="132"/>
      <c r="H369" s="132"/>
      <c r="I369" s="132"/>
      <c r="J369" s="132"/>
      <c r="K369" s="132"/>
      <c r="L369" s="124">
        <f>SUM(L370:L373)</f>
        <v>85.2</v>
      </c>
    </row>
    <row r="370" spans="1:12" ht="31.5" customHeight="1">
      <c r="A370" s="42"/>
      <c r="B370" s="42" t="s">
        <v>279</v>
      </c>
      <c r="C370" s="150" t="s">
        <v>299</v>
      </c>
      <c r="D370" s="125">
        <f>228+I370</f>
        <v>253</v>
      </c>
      <c r="E370" s="132"/>
      <c r="F370" s="132"/>
      <c r="G370" s="132"/>
      <c r="H370" s="132"/>
      <c r="I370" s="163">
        <v>25</v>
      </c>
      <c r="J370" s="132"/>
      <c r="K370" s="132"/>
      <c r="L370" s="49">
        <v>0</v>
      </c>
    </row>
    <row r="371" spans="1:12" ht="15.75">
      <c r="A371" s="42"/>
      <c r="B371" s="42" t="s">
        <v>419</v>
      </c>
      <c r="C371" s="150" t="s">
        <v>418</v>
      </c>
      <c r="D371" s="125">
        <f>+I371</f>
        <v>97.8</v>
      </c>
      <c r="E371" s="132"/>
      <c r="F371" s="132"/>
      <c r="G371" s="132"/>
      <c r="H371" s="132"/>
      <c r="I371" s="163">
        <v>97.8</v>
      </c>
      <c r="J371" s="132"/>
      <c r="K371" s="132"/>
      <c r="L371" s="49">
        <v>85.2</v>
      </c>
    </row>
    <row r="372" spans="1:12" ht="47.25">
      <c r="A372" s="42"/>
      <c r="B372" s="42" t="s">
        <v>130</v>
      </c>
      <c r="C372" s="150" t="s">
        <v>467</v>
      </c>
      <c r="D372" s="125">
        <f>+I372</f>
        <v>95</v>
      </c>
      <c r="E372" s="132"/>
      <c r="F372" s="132"/>
      <c r="G372" s="132"/>
      <c r="H372" s="132"/>
      <c r="I372" s="163">
        <v>95</v>
      </c>
      <c r="J372" s="132"/>
      <c r="K372" s="132"/>
      <c r="L372" s="49">
        <v>0</v>
      </c>
    </row>
    <row r="373" spans="1:12" ht="27.75" customHeight="1">
      <c r="A373" s="42"/>
      <c r="B373" s="42" t="s">
        <v>420</v>
      </c>
      <c r="C373" s="150" t="s">
        <v>299</v>
      </c>
      <c r="D373" s="125">
        <f>+I373</f>
        <v>228</v>
      </c>
      <c r="E373" s="132"/>
      <c r="F373" s="132"/>
      <c r="G373" s="132"/>
      <c r="H373" s="132"/>
      <c r="I373" s="163">
        <v>228</v>
      </c>
      <c r="J373" s="132"/>
      <c r="K373" s="132"/>
      <c r="L373" s="49">
        <v>0</v>
      </c>
    </row>
    <row r="374" spans="1:12" ht="15.75">
      <c r="A374" s="93" t="s">
        <v>280</v>
      </c>
      <c r="B374" s="82" t="s">
        <v>281</v>
      </c>
      <c r="C374" s="156"/>
      <c r="D374" s="124">
        <f>SUM(D375:D377)</f>
        <v>625.5</v>
      </c>
      <c r="E374" s="132"/>
      <c r="F374" s="132"/>
      <c r="G374" s="132"/>
      <c r="H374" s="132"/>
      <c r="I374" s="132"/>
      <c r="J374" s="132"/>
      <c r="K374" s="132"/>
      <c r="L374" s="124">
        <f>SUM(L375:L378)</f>
        <v>818.6</v>
      </c>
    </row>
    <row r="375" spans="1:12" ht="15.75">
      <c r="A375" s="42"/>
      <c r="B375" s="42" t="s">
        <v>282</v>
      </c>
      <c r="C375" s="156" t="s">
        <v>242</v>
      </c>
      <c r="D375" s="125">
        <f>219+I375</f>
        <v>232.4</v>
      </c>
      <c r="E375" s="132"/>
      <c r="F375" s="132"/>
      <c r="G375" s="132"/>
      <c r="H375" s="132"/>
      <c r="I375" s="163">
        <v>13.4</v>
      </c>
      <c r="J375" s="132"/>
      <c r="K375" s="132"/>
      <c r="L375" s="49">
        <v>232.4</v>
      </c>
    </row>
    <row r="376" spans="1:12" ht="15.75">
      <c r="A376" s="42"/>
      <c r="B376" s="42" t="s">
        <v>421</v>
      </c>
      <c r="C376" s="156" t="s">
        <v>423</v>
      </c>
      <c r="D376" s="125">
        <f>+I376</f>
        <v>264.6</v>
      </c>
      <c r="E376" s="132"/>
      <c r="F376" s="132"/>
      <c r="G376" s="132"/>
      <c r="H376" s="132"/>
      <c r="I376" s="163">
        <v>264.6</v>
      </c>
      <c r="J376" s="132"/>
      <c r="K376" s="132"/>
      <c r="L376" s="49">
        <v>276.6</v>
      </c>
    </row>
    <row r="377" spans="1:12" ht="29.25" customHeight="1">
      <c r="A377" s="42"/>
      <c r="B377" s="42" t="s">
        <v>422</v>
      </c>
      <c r="C377" s="150" t="s">
        <v>424</v>
      </c>
      <c r="D377" s="125">
        <f>+I377</f>
        <v>128.5</v>
      </c>
      <c r="E377" s="132"/>
      <c r="F377" s="132"/>
      <c r="G377" s="132"/>
      <c r="H377" s="132"/>
      <c r="I377" s="163">
        <v>128.5</v>
      </c>
      <c r="J377" s="132"/>
      <c r="K377" s="132"/>
      <c r="L377" s="49">
        <v>128.5</v>
      </c>
    </row>
    <row r="378" spans="1:12" ht="29.25" customHeight="1">
      <c r="A378" s="42"/>
      <c r="B378" s="42"/>
      <c r="C378" s="3" t="s">
        <v>135</v>
      </c>
      <c r="D378" s="125">
        <v>0</v>
      </c>
      <c r="E378" s="132"/>
      <c r="F378" s="132"/>
      <c r="G378" s="132"/>
      <c r="H378" s="132"/>
      <c r="I378" s="163"/>
      <c r="J378" s="132"/>
      <c r="K378" s="132"/>
      <c r="L378" s="49">
        <v>181.1</v>
      </c>
    </row>
    <row r="379" spans="1:12" ht="15.75">
      <c r="A379" s="93" t="s">
        <v>283</v>
      </c>
      <c r="B379" s="82" t="s">
        <v>284</v>
      </c>
      <c r="C379" s="156"/>
      <c r="D379" s="124">
        <f>SUM(D380:D386)</f>
        <v>828</v>
      </c>
      <c r="E379" s="132"/>
      <c r="F379" s="132"/>
      <c r="G379" s="132"/>
      <c r="H379" s="132"/>
      <c r="I379" s="132"/>
      <c r="J379" s="132"/>
      <c r="K379" s="132"/>
      <c r="L379" s="124">
        <f>SUM(L380:L387)</f>
        <v>647.4999999999999</v>
      </c>
    </row>
    <row r="380" spans="1:12" ht="15.75">
      <c r="A380" s="42"/>
      <c r="B380" s="42" t="s">
        <v>285</v>
      </c>
      <c r="C380" s="156" t="s">
        <v>242</v>
      </c>
      <c r="D380" s="125">
        <v>156</v>
      </c>
      <c r="E380" s="132"/>
      <c r="F380" s="132"/>
      <c r="G380" s="132"/>
      <c r="H380" s="132"/>
      <c r="I380" s="132"/>
      <c r="J380" s="132"/>
      <c r="K380" s="132"/>
      <c r="L380" s="49">
        <v>155.1</v>
      </c>
    </row>
    <row r="381" spans="1:12" ht="31.5" hidden="1">
      <c r="A381" s="42"/>
      <c r="B381" s="42" t="s">
        <v>286</v>
      </c>
      <c r="C381" s="150" t="s">
        <v>299</v>
      </c>
      <c r="D381" s="125">
        <f>90+I381</f>
        <v>0</v>
      </c>
      <c r="E381" s="132"/>
      <c r="F381" s="132"/>
      <c r="G381" s="132"/>
      <c r="H381" s="132"/>
      <c r="I381" s="163">
        <v>-90</v>
      </c>
      <c r="J381" s="132"/>
      <c r="K381" s="132"/>
      <c r="L381" s="49"/>
    </row>
    <row r="382" spans="1:12" ht="29.25" customHeight="1">
      <c r="A382" s="42"/>
      <c r="B382" s="42" t="s">
        <v>256</v>
      </c>
      <c r="C382" s="150" t="s">
        <v>299</v>
      </c>
      <c r="D382" s="125">
        <f>+I382</f>
        <v>90</v>
      </c>
      <c r="E382" s="132"/>
      <c r="F382" s="132"/>
      <c r="G382" s="132"/>
      <c r="H382" s="132"/>
      <c r="I382" s="163">
        <v>90</v>
      </c>
      <c r="J382" s="132"/>
      <c r="K382" s="132"/>
      <c r="L382" s="49">
        <v>0</v>
      </c>
    </row>
    <row r="383" spans="1:12" ht="30" customHeight="1">
      <c r="A383" s="42"/>
      <c r="B383" s="42" t="s">
        <v>425</v>
      </c>
      <c r="C383" s="150" t="s">
        <v>299</v>
      </c>
      <c r="D383" s="125">
        <f>+I383</f>
        <v>98.5</v>
      </c>
      <c r="E383" s="132"/>
      <c r="F383" s="132"/>
      <c r="G383" s="132"/>
      <c r="H383" s="132"/>
      <c r="I383" s="163">
        <v>98.5</v>
      </c>
      <c r="J383" s="132"/>
      <c r="K383" s="132"/>
      <c r="L383" s="49">
        <v>0</v>
      </c>
    </row>
    <row r="384" spans="1:12" ht="15.75">
      <c r="A384" s="42"/>
      <c r="B384" s="42" t="s">
        <v>426</v>
      </c>
      <c r="C384" s="150" t="s">
        <v>468</v>
      </c>
      <c r="D384" s="125">
        <f>+I384</f>
        <v>144</v>
      </c>
      <c r="E384" s="132"/>
      <c r="F384" s="132"/>
      <c r="G384" s="132"/>
      <c r="H384" s="132"/>
      <c r="I384" s="163">
        <v>144</v>
      </c>
      <c r="J384" s="132"/>
      <c r="K384" s="132"/>
      <c r="L384" s="49">
        <v>143.7</v>
      </c>
    </row>
    <row r="385" spans="1:12" ht="15.75">
      <c r="A385" s="42"/>
      <c r="B385" s="42" t="s">
        <v>130</v>
      </c>
      <c r="C385" s="150" t="s">
        <v>427</v>
      </c>
      <c r="D385" s="125">
        <f>+I385</f>
        <v>162.5</v>
      </c>
      <c r="E385" s="132"/>
      <c r="F385" s="132"/>
      <c r="G385" s="132"/>
      <c r="H385" s="132"/>
      <c r="I385" s="163">
        <v>162.5</v>
      </c>
      <c r="J385" s="132"/>
      <c r="K385" s="132"/>
      <c r="L385" s="49">
        <v>100.4</v>
      </c>
    </row>
    <row r="386" spans="1:12" ht="29.25" customHeight="1">
      <c r="A386" s="42"/>
      <c r="B386" s="42" t="s">
        <v>250</v>
      </c>
      <c r="C386" s="150" t="s">
        <v>424</v>
      </c>
      <c r="D386" s="125">
        <f>+I386</f>
        <v>177</v>
      </c>
      <c r="E386" s="132"/>
      <c r="F386" s="132"/>
      <c r="G386" s="132"/>
      <c r="H386" s="132"/>
      <c r="I386" s="163">
        <v>177</v>
      </c>
      <c r="J386" s="132"/>
      <c r="K386" s="132"/>
      <c r="L386" s="49">
        <v>186.7</v>
      </c>
    </row>
    <row r="387" spans="1:12" ht="29.25" customHeight="1">
      <c r="A387" s="42"/>
      <c r="B387" s="42"/>
      <c r="C387" s="3" t="s">
        <v>135</v>
      </c>
      <c r="D387" s="125">
        <v>0</v>
      </c>
      <c r="E387" s="132"/>
      <c r="F387" s="132"/>
      <c r="G387" s="132"/>
      <c r="H387" s="132"/>
      <c r="I387" s="163"/>
      <c r="J387" s="132"/>
      <c r="K387" s="132"/>
      <c r="L387" s="49">
        <v>61.6</v>
      </c>
    </row>
    <row r="388" spans="1:12" ht="15.75">
      <c r="A388" s="93" t="s">
        <v>287</v>
      </c>
      <c r="B388" s="82" t="s">
        <v>487</v>
      </c>
      <c r="C388" s="156"/>
      <c r="D388" s="124">
        <f>SUM(D389:D391)</f>
        <v>540</v>
      </c>
      <c r="E388" s="132"/>
      <c r="F388" s="132"/>
      <c r="G388" s="132"/>
      <c r="H388" s="132"/>
      <c r="I388" s="132"/>
      <c r="J388" s="132"/>
      <c r="K388" s="132"/>
      <c r="L388" s="124">
        <f>SUM(L389:L394)</f>
        <v>571.4</v>
      </c>
    </row>
    <row r="389" spans="1:12" ht="15.75">
      <c r="A389" s="42"/>
      <c r="B389" s="42" t="s">
        <v>160</v>
      </c>
      <c r="C389" s="156" t="s">
        <v>242</v>
      </c>
      <c r="D389" s="125">
        <f>203+I389</f>
        <v>358.5</v>
      </c>
      <c r="E389" s="132"/>
      <c r="F389" s="132"/>
      <c r="G389" s="132"/>
      <c r="H389" s="132"/>
      <c r="I389" s="163">
        <v>155.5</v>
      </c>
      <c r="J389" s="132"/>
      <c r="K389" s="132"/>
      <c r="L389" s="49">
        <v>350.8</v>
      </c>
    </row>
    <row r="390" spans="1:12" ht="29.25" customHeight="1">
      <c r="A390" s="42"/>
      <c r="B390" s="42" t="s">
        <v>428</v>
      </c>
      <c r="C390" s="150" t="s">
        <v>455</v>
      </c>
      <c r="D390" s="125">
        <f>+I390</f>
        <v>47.7</v>
      </c>
      <c r="E390" s="132"/>
      <c r="F390" s="132"/>
      <c r="G390" s="132"/>
      <c r="H390" s="132"/>
      <c r="I390" s="163">
        <v>47.7</v>
      </c>
      <c r="J390" s="132"/>
      <c r="K390" s="132"/>
      <c r="L390" s="49">
        <v>47.7</v>
      </c>
    </row>
    <row r="391" spans="1:12" ht="28.5" customHeight="1">
      <c r="A391" s="42"/>
      <c r="B391" s="42" t="s">
        <v>410</v>
      </c>
      <c r="C391" s="150" t="s">
        <v>429</v>
      </c>
      <c r="D391" s="125">
        <f>+I391</f>
        <v>133.8</v>
      </c>
      <c r="E391" s="132"/>
      <c r="F391" s="132"/>
      <c r="G391" s="132"/>
      <c r="H391" s="132"/>
      <c r="I391" s="163">
        <v>133.8</v>
      </c>
      <c r="J391" s="132"/>
      <c r="K391" s="132"/>
      <c r="L391" s="49">
        <v>92.8</v>
      </c>
    </row>
    <row r="392" spans="1:12" ht="28.5" customHeight="1">
      <c r="A392" s="42"/>
      <c r="B392" s="3" t="s">
        <v>471</v>
      </c>
      <c r="C392" s="150" t="s">
        <v>427</v>
      </c>
      <c r="D392" s="125">
        <v>0</v>
      </c>
      <c r="E392" s="132"/>
      <c r="F392" s="132"/>
      <c r="G392" s="132"/>
      <c r="H392" s="132"/>
      <c r="I392" s="163"/>
      <c r="J392" s="132"/>
      <c r="K392" s="132"/>
      <c r="L392" s="49">
        <v>29.3</v>
      </c>
    </row>
    <row r="393" spans="1:12" ht="28.5" customHeight="1">
      <c r="A393" s="42"/>
      <c r="B393" s="42" t="s">
        <v>472</v>
      </c>
      <c r="C393" s="150" t="s">
        <v>473</v>
      </c>
      <c r="D393" s="125">
        <v>0</v>
      </c>
      <c r="E393" s="132"/>
      <c r="F393" s="132"/>
      <c r="G393" s="132"/>
      <c r="H393" s="132"/>
      <c r="I393" s="163"/>
      <c r="J393" s="132"/>
      <c r="K393" s="132"/>
      <c r="L393" s="49">
        <v>44.9</v>
      </c>
    </row>
    <row r="394" spans="1:12" ht="28.5" customHeight="1">
      <c r="A394" s="42"/>
      <c r="B394" s="42"/>
      <c r="C394" s="3" t="s">
        <v>135</v>
      </c>
      <c r="D394" s="125">
        <v>0</v>
      </c>
      <c r="E394" s="132"/>
      <c r="F394" s="132"/>
      <c r="G394" s="132"/>
      <c r="H394" s="132"/>
      <c r="I394" s="163"/>
      <c r="J394" s="132"/>
      <c r="K394" s="132"/>
      <c r="L394" s="49">
        <v>5.9</v>
      </c>
    </row>
    <row r="395" spans="1:12" ht="15.75">
      <c r="A395" s="93" t="s">
        <v>289</v>
      </c>
      <c r="B395" s="82" t="s">
        <v>171</v>
      </c>
      <c r="C395" s="156"/>
      <c r="D395" s="124">
        <f>SUM(D396:D399)</f>
        <v>518.1</v>
      </c>
      <c r="E395" s="132"/>
      <c r="F395" s="132"/>
      <c r="G395" s="132"/>
      <c r="H395" s="132"/>
      <c r="I395" s="132"/>
      <c r="J395" s="132"/>
      <c r="K395" s="132"/>
      <c r="L395" s="124">
        <f>SUM(L396:L399)</f>
        <v>374.09999999999997</v>
      </c>
    </row>
    <row r="396" spans="1:12" ht="29.25" customHeight="1">
      <c r="A396" s="80"/>
      <c r="B396" s="96" t="s">
        <v>291</v>
      </c>
      <c r="C396" s="150" t="s">
        <v>299</v>
      </c>
      <c r="D396" s="123">
        <v>183</v>
      </c>
      <c r="E396" s="132"/>
      <c r="F396" s="132"/>
      <c r="G396" s="132"/>
      <c r="H396" s="132"/>
      <c r="I396" s="132"/>
      <c r="J396" s="132"/>
      <c r="K396" s="132"/>
      <c r="L396" s="49">
        <v>180.6</v>
      </c>
    </row>
    <row r="397" spans="1:12" ht="32.25" customHeight="1">
      <c r="A397" s="80"/>
      <c r="B397" s="96" t="s">
        <v>430</v>
      </c>
      <c r="C397" s="150" t="s">
        <v>299</v>
      </c>
      <c r="D397" s="123">
        <f>+I397</f>
        <v>185.2</v>
      </c>
      <c r="E397" s="132"/>
      <c r="F397" s="132"/>
      <c r="G397" s="132"/>
      <c r="H397" s="132"/>
      <c r="I397" s="163">
        <v>185.2</v>
      </c>
      <c r="J397" s="132"/>
      <c r="K397" s="132"/>
      <c r="L397" s="49">
        <v>138.7</v>
      </c>
    </row>
    <row r="398" spans="1:12" ht="47.25">
      <c r="A398" s="80"/>
      <c r="B398" s="42" t="s">
        <v>130</v>
      </c>
      <c r="C398" s="150" t="s">
        <v>467</v>
      </c>
      <c r="D398" s="123">
        <f>+I398</f>
        <v>50</v>
      </c>
      <c r="E398" s="132"/>
      <c r="F398" s="132"/>
      <c r="G398" s="132"/>
      <c r="H398" s="132"/>
      <c r="I398" s="163">
        <v>50</v>
      </c>
      <c r="J398" s="132"/>
      <c r="K398" s="132"/>
      <c r="L398" s="49">
        <v>54.8</v>
      </c>
    </row>
    <row r="399" spans="1:12" ht="15.75">
      <c r="A399" s="80"/>
      <c r="B399" s="96" t="s">
        <v>431</v>
      </c>
      <c r="C399" s="150" t="s">
        <v>432</v>
      </c>
      <c r="D399" s="123">
        <f>+I399</f>
        <v>99.9</v>
      </c>
      <c r="E399" s="132"/>
      <c r="F399" s="132"/>
      <c r="G399" s="132"/>
      <c r="H399" s="132"/>
      <c r="I399" s="163">
        <v>99.9</v>
      </c>
      <c r="J399" s="132"/>
      <c r="K399" s="132"/>
      <c r="L399" s="49">
        <v>0</v>
      </c>
    </row>
    <row r="400" spans="1:12" ht="15.75">
      <c r="A400" s="80"/>
      <c r="B400" s="82" t="s">
        <v>292</v>
      </c>
      <c r="C400" s="156"/>
      <c r="D400" s="126">
        <f>D364+D369+D374+D379+D388+D395</f>
        <v>3676.1</v>
      </c>
      <c r="E400" s="132"/>
      <c r="F400" s="132"/>
      <c r="G400" s="132"/>
      <c r="H400" s="132"/>
      <c r="I400" s="126">
        <f>SUM(I364:I399)</f>
        <v>2418.1</v>
      </c>
      <c r="J400" s="132"/>
      <c r="K400" s="132"/>
      <c r="L400" s="126">
        <f>L364+L369+L374+L379+L388+L395</f>
        <v>2983.5</v>
      </c>
    </row>
    <row r="401" spans="3:4" ht="15.75">
      <c r="C401" s="127"/>
      <c r="D401" s="181"/>
    </row>
    <row r="402" ht="15.75">
      <c r="D402" s="181"/>
    </row>
    <row r="403" ht="15.75">
      <c r="D403" s="181"/>
    </row>
    <row r="404" ht="15.75">
      <c r="D404" s="181"/>
    </row>
    <row r="405" ht="15.75">
      <c r="D405" s="181"/>
    </row>
    <row r="406" ht="15.75">
      <c r="D406" s="181"/>
    </row>
    <row r="407" ht="15.75">
      <c r="D407" s="181"/>
    </row>
    <row r="408" ht="15.75">
      <c r="D408" s="181"/>
    </row>
    <row r="409" ht="15.75">
      <c r="D409" s="181"/>
    </row>
    <row r="410" ht="15.75">
      <c r="D410" s="181"/>
    </row>
    <row r="411" ht="15.75">
      <c r="D411" s="181"/>
    </row>
    <row r="412" ht="15.75">
      <c r="D412" s="181"/>
    </row>
    <row r="413" ht="15.75">
      <c r="D413" s="181"/>
    </row>
    <row r="414" ht="15.75">
      <c r="D414" s="181"/>
    </row>
    <row r="415" ht="15.75">
      <c r="D415" s="181"/>
    </row>
    <row r="416" ht="15.75">
      <c r="D416" s="181"/>
    </row>
    <row r="417" ht="15.75">
      <c r="D417" s="181"/>
    </row>
    <row r="418" ht="15.75">
      <c r="D418" s="181"/>
    </row>
    <row r="419" ht="15.75">
      <c r="D419" s="181"/>
    </row>
    <row r="420" ht="15.75">
      <c r="D420" s="181"/>
    </row>
    <row r="421" ht="15.75">
      <c r="D421" s="181"/>
    </row>
    <row r="422" ht="15.75">
      <c r="D422" s="181"/>
    </row>
    <row r="423" ht="15.75">
      <c r="D423" s="181"/>
    </row>
    <row r="424" ht="15.75">
      <c r="D424" s="181"/>
    </row>
    <row r="425" ht="15.75">
      <c r="D425" s="181"/>
    </row>
    <row r="426" ht="15.75">
      <c r="D426" s="181"/>
    </row>
    <row r="427" ht="15.75">
      <c r="D427" s="181"/>
    </row>
    <row r="428" ht="15.75">
      <c r="D428" s="181"/>
    </row>
    <row r="429" ht="15.75">
      <c r="D429" s="181"/>
    </row>
    <row r="430" ht="15.75">
      <c r="D430" s="181"/>
    </row>
    <row r="431" ht="15.75">
      <c r="D431" s="181"/>
    </row>
    <row r="432" ht="15.75">
      <c r="D432" s="181"/>
    </row>
    <row r="433" ht="15.75">
      <c r="D433" s="181"/>
    </row>
    <row r="434" ht="15.75">
      <c r="D434" s="181"/>
    </row>
    <row r="435" ht="15.75">
      <c r="D435" s="181"/>
    </row>
    <row r="436" ht="15.75">
      <c r="D436" s="181"/>
    </row>
    <row r="437" ht="15.75">
      <c r="D437" s="181"/>
    </row>
    <row r="438" ht="15.75">
      <c r="D438" s="181"/>
    </row>
    <row r="439" ht="15.75">
      <c r="D439" s="181"/>
    </row>
    <row r="440" ht="15.75">
      <c r="D440" s="181"/>
    </row>
    <row r="441" ht="15.75">
      <c r="D441" s="181"/>
    </row>
    <row r="442" ht="15.75">
      <c r="D442" s="181"/>
    </row>
    <row r="443" ht="15.75">
      <c r="D443" s="181"/>
    </row>
    <row r="444" ht="15.75">
      <c r="D444" s="181"/>
    </row>
    <row r="445" ht="15.75">
      <c r="D445" s="181"/>
    </row>
    <row r="446" ht="15.75">
      <c r="D446" s="181"/>
    </row>
    <row r="447" ht="15.75">
      <c r="D447" s="181"/>
    </row>
    <row r="448" ht="15.75">
      <c r="D448" s="181"/>
    </row>
    <row r="449" ht="15.75">
      <c r="D449" s="181"/>
    </row>
    <row r="450" ht="15.75">
      <c r="D450" s="181"/>
    </row>
    <row r="451" ht="15.75">
      <c r="D451" s="181"/>
    </row>
    <row r="452" ht="15.75">
      <c r="D452" s="181"/>
    </row>
    <row r="453" ht="15.75">
      <c r="D453" s="181"/>
    </row>
    <row r="454" ht="15.75">
      <c r="D454" s="181"/>
    </row>
    <row r="455" ht="15.75">
      <c r="D455" s="181"/>
    </row>
    <row r="456" ht="15.75">
      <c r="D456" s="181"/>
    </row>
    <row r="457" ht="15.75">
      <c r="D457" s="181"/>
    </row>
    <row r="458" ht="15.75">
      <c r="D458" s="181"/>
    </row>
    <row r="459" ht="15.75">
      <c r="D459" s="181"/>
    </row>
    <row r="460" ht="15.75">
      <c r="D460" s="181"/>
    </row>
    <row r="461" ht="15.75">
      <c r="D461" s="181"/>
    </row>
    <row r="462" ht="15.75">
      <c r="D462" s="181"/>
    </row>
    <row r="463" ht="15.75">
      <c r="D463" s="181"/>
    </row>
    <row r="464" ht="15.75">
      <c r="D464" s="181"/>
    </row>
    <row r="465" ht="15.75">
      <c r="D465" s="181"/>
    </row>
    <row r="466" ht="15.75">
      <c r="D466" s="181"/>
    </row>
    <row r="467" ht="15.75">
      <c r="D467" s="181"/>
    </row>
    <row r="468" ht="15.75">
      <c r="D468" s="181"/>
    </row>
    <row r="469" ht="15.75">
      <c r="D469" s="181"/>
    </row>
    <row r="470" ht="15.75">
      <c r="D470" s="181"/>
    </row>
    <row r="471" ht="15.75">
      <c r="D471" s="181"/>
    </row>
    <row r="472" ht="15.75">
      <c r="D472" s="181"/>
    </row>
    <row r="473" ht="15.75">
      <c r="D473" s="181"/>
    </row>
    <row r="474" ht="15.75">
      <c r="D474" s="181"/>
    </row>
    <row r="475" ht="15.75">
      <c r="D475" s="181"/>
    </row>
    <row r="476" ht="15.75">
      <c r="D476" s="181"/>
    </row>
    <row r="477" ht="15.75">
      <c r="D477" s="181"/>
    </row>
    <row r="478" ht="15.75">
      <c r="D478" s="181"/>
    </row>
    <row r="479" ht="15.75">
      <c r="D479" s="181"/>
    </row>
    <row r="480" ht="15.75">
      <c r="D480" s="181"/>
    </row>
    <row r="481" ht="15.75">
      <c r="D481" s="181"/>
    </row>
    <row r="482" ht="15.75">
      <c r="D482" s="181"/>
    </row>
    <row r="483" ht="15.75">
      <c r="D483" s="181"/>
    </row>
    <row r="484" ht="15.75">
      <c r="D484" s="181"/>
    </row>
    <row r="485" ht="15.75">
      <c r="D485" s="181"/>
    </row>
    <row r="486" ht="15.75">
      <c r="D486" s="181"/>
    </row>
    <row r="487" ht="15.75">
      <c r="D487" s="181"/>
    </row>
    <row r="488" ht="15.75">
      <c r="D488" s="181"/>
    </row>
    <row r="489" ht="15.75">
      <c r="D489" s="181"/>
    </row>
    <row r="490" ht="15.75">
      <c r="D490" s="181"/>
    </row>
    <row r="491" ht="15.75">
      <c r="D491" s="181"/>
    </row>
    <row r="492" ht="15.75">
      <c r="D492" s="181"/>
    </row>
    <row r="493" ht="15.75">
      <c r="D493" s="181"/>
    </row>
    <row r="494" ht="15.75">
      <c r="D494" s="181"/>
    </row>
    <row r="495" ht="15.75">
      <c r="D495" s="181"/>
    </row>
    <row r="496" ht="15.75">
      <c r="D496" s="181"/>
    </row>
    <row r="497" ht="15.75">
      <c r="D497" s="181"/>
    </row>
    <row r="498" ht="15.75">
      <c r="D498" s="181"/>
    </row>
    <row r="499" ht="15.75">
      <c r="D499" s="181"/>
    </row>
    <row r="500" ht="15.75">
      <c r="D500" s="181"/>
    </row>
    <row r="501" ht="15.75">
      <c r="D501" s="181"/>
    </row>
    <row r="502" ht="15.75">
      <c r="D502" s="181"/>
    </row>
    <row r="503" ht="15.75">
      <c r="D503" s="181"/>
    </row>
    <row r="504" ht="15.75">
      <c r="D504" s="181"/>
    </row>
    <row r="505" ht="15.75">
      <c r="D505" s="181"/>
    </row>
    <row r="506" ht="15.75">
      <c r="D506" s="181"/>
    </row>
    <row r="507" ht="15.75">
      <c r="D507" s="181"/>
    </row>
    <row r="508" ht="15.75">
      <c r="D508" s="181"/>
    </row>
    <row r="509" ht="15.75">
      <c r="D509" s="181"/>
    </row>
    <row r="510" ht="15.75">
      <c r="D510" s="181"/>
    </row>
    <row r="511" ht="15.75">
      <c r="D511" s="181"/>
    </row>
    <row r="512" ht="15.75">
      <c r="D512" s="181"/>
    </row>
    <row r="513" ht="15.75">
      <c r="D513" s="181"/>
    </row>
    <row r="514" ht="15.75">
      <c r="D514" s="181"/>
    </row>
    <row r="515" ht="15.75">
      <c r="D515" s="181"/>
    </row>
    <row r="516" ht="15.75">
      <c r="D516" s="181"/>
    </row>
    <row r="517" ht="15.75">
      <c r="D517" s="181"/>
    </row>
    <row r="518" ht="15.75">
      <c r="D518" s="181"/>
    </row>
    <row r="519" ht="15.75">
      <c r="D519" s="181"/>
    </row>
    <row r="520" ht="15.75">
      <c r="D520" s="181"/>
    </row>
    <row r="521" ht="15.75">
      <c r="D521" s="181"/>
    </row>
    <row r="522" ht="15.75">
      <c r="D522" s="181"/>
    </row>
    <row r="523" ht="15.75">
      <c r="D523" s="181"/>
    </row>
    <row r="524" ht="15.75">
      <c r="D524" s="181"/>
    </row>
    <row r="525" ht="15.75">
      <c r="D525" s="181"/>
    </row>
    <row r="526" ht="15.75">
      <c r="D526" s="181"/>
    </row>
    <row r="527" ht="15.75">
      <c r="D527" s="181"/>
    </row>
    <row r="528" ht="15.75">
      <c r="D528" s="181"/>
    </row>
    <row r="529" ht="15.75">
      <c r="D529" s="181"/>
    </row>
    <row r="530" ht="15.75">
      <c r="D530" s="181"/>
    </row>
    <row r="531" ht="15.75">
      <c r="D531" s="181"/>
    </row>
    <row r="532" ht="15.75">
      <c r="D532" s="181"/>
    </row>
    <row r="533" ht="15.75">
      <c r="D533" s="181"/>
    </row>
    <row r="534" ht="15.75">
      <c r="D534" s="181"/>
    </row>
    <row r="535" ht="15.75">
      <c r="D535" s="181"/>
    </row>
    <row r="536" ht="15.75">
      <c r="D536" s="181"/>
    </row>
    <row r="537" ht="15.75">
      <c r="D537" s="181"/>
    </row>
    <row r="538" ht="15.75">
      <c r="D538" s="181"/>
    </row>
    <row r="539" ht="15.75">
      <c r="D539" s="181"/>
    </row>
    <row r="540" ht="15.75">
      <c r="D540" s="181"/>
    </row>
    <row r="541" ht="15.75">
      <c r="D541" s="181"/>
    </row>
    <row r="542" ht="15.75">
      <c r="D542" s="181"/>
    </row>
    <row r="543" ht="15.75">
      <c r="D543" s="181"/>
    </row>
    <row r="544" ht="15.75">
      <c r="D544" s="181"/>
    </row>
    <row r="545" ht="15.75">
      <c r="D545" s="181"/>
    </row>
    <row r="546" ht="15.75">
      <c r="D546" s="181"/>
    </row>
    <row r="547" ht="15.75">
      <c r="D547" s="181"/>
    </row>
    <row r="548" ht="15.75">
      <c r="D548" s="181"/>
    </row>
    <row r="549" ht="15.75">
      <c r="D549" s="181"/>
    </row>
    <row r="550" ht="15.75">
      <c r="D550" s="181"/>
    </row>
    <row r="551" ht="15.75">
      <c r="D551" s="181"/>
    </row>
    <row r="552" ht="15.75">
      <c r="D552" s="181"/>
    </row>
    <row r="553" ht="15.75">
      <c r="D553" s="181"/>
    </row>
    <row r="554" ht="15.75">
      <c r="D554" s="181"/>
    </row>
    <row r="555" ht="15.75">
      <c r="D555" s="181"/>
    </row>
    <row r="556" ht="15.75">
      <c r="D556" s="181"/>
    </row>
    <row r="557" ht="15.75">
      <c r="D557" s="181"/>
    </row>
    <row r="558" ht="15.75">
      <c r="D558" s="181"/>
    </row>
    <row r="559" ht="15.75">
      <c r="D559" s="181"/>
    </row>
    <row r="560" ht="15.75">
      <c r="D560" s="181"/>
    </row>
    <row r="561" ht="15.75">
      <c r="D561" s="181"/>
    </row>
    <row r="562" ht="15.75">
      <c r="D562" s="181"/>
    </row>
    <row r="563" ht="15.75">
      <c r="D563" s="181"/>
    </row>
    <row r="564" ht="15.75">
      <c r="D564" s="181"/>
    </row>
    <row r="565" ht="15.75">
      <c r="D565" s="181"/>
    </row>
    <row r="566" ht="15.75">
      <c r="D566" s="181"/>
    </row>
    <row r="567" ht="15.75">
      <c r="D567" s="181"/>
    </row>
    <row r="568" ht="15.75">
      <c r="D568" s="181"/>
    </row>
    <row r="569" ht="15.75">
      <c r="D569" s="181"/>
    </row>
    <row r="570" ht="15.75">
      <c r="D570" s="181"/>
    </row>
    <row r="571" ht="15.75">
      <c r="D571" s="181"/>
    </row>
    <row r="572" ht="15.75">
      <c r="D572" s="181"/>
    </row>
    <row r="573" ht="15.75">
      <c r="D573" s="181"/>
    </row>
    <row r="574" ht="15.75">
      <c r="D574" s="181"/>
    </row>
    <row r="575" ht="15.75">
      <c r="D575" s="181"/>
    </row>
    <row r="576" ht="15.75">
      <c r="D576" s="181"/>
    </row>
    <row r="577" ht="15.75">
      <c r="D577" s="181"/>
    </row>
    <row r="578" ht="15.75">
      <c r="D578" s="181"/>
    </row>
    <row r="579" ht="15.75">
      <c r="D579" s="181"/>
    </row>
    <row r="580" ht="15.75">
      <c r="D580" s="181"/>
    </row>
    <row r="581" ht="15.75">
      <c r="D581" s="181"/>
    </row>
    <row r="582" ht="15.75">
      <c r="D582" s="181"/>
    </row>
    <row r="583" ht="15.75">
      <c r="D583" s="181"/>
    </row>
    <row r="584" ht="15.75">
      <c r="D584" s="181"/>
    </row>
    <row r="585" ht="15.75">
      <c r="D585" s="181"/>
    </row>
    <row r="586" ht="15.75">
      <c r="D586" s="181"/>
    </row>
    <row r="587" ht="15.75">
      <c r="D587" s="181"/>
    </row>
    <row r="588" ht="15.75">
      <c r="D588" s="181"/>
    </row>
    <row r="589" ht="15.75">
      <c r="D589" s="181"/>
    </row>
    <row r="590" ht="15.75">
      <c r="D590" s="181"/>
    </row>
    <row r="591" ht="15.75">
      <c r="D591" s="181"/>
    </row>
    <row r="592" ht="15.75">
      <c r="D592" s="181"/>
    </row>
    <row r="593" ht="15.75">
      <c r="D593" s="181"/>
    </row>
    <row r="594" ht="15.75">
      <c r="D594" s="181"/>
    </row>
    <row r="595" ht="15.75">
      <c r="D595" s="181"/>
    </row>
    <row r="596" ht="15.75">
      <c r="D596" s="181"/>
    </row>
    <row r="597" ht="15.75">
      <c r="D597" s="181"/>
    </row>
    <row r="598" ht="15.75">
      <c r="D598" s="181"/>
    </row>
    <row r="599" ht="15.75">
      <c r="D599" s="181"/>
    </row>
    <row r="600" ht="15.75">
      <c r="D600" s="181"/>
    </row>
    <row r="601" ht="15.75">
      <c r="D601" s="181"/>
    </row>
    <row r="602" ht="15.75">
      <c r="D602" s="181"/>
    </row>
    <row r="603" ht="15.75">
      <c r="D603" s="181"/>
    </row>
    <row r="604" ht="15.75">
      <c r="D604" s="181"/>
    </row>
    <row r="605" ht="15.75">
      <c r="D605" s="181"/>
    </row>
    <row r="606" ht="15.75">
      <c r="D606" s="181"/>
    </row>
    <row r="607" ht="15.75">
      <c r="D607" s="181"/>
    </row>
    <row r="608" ht="15.75">
      <c r="D608" s="181"/>
    </row>
    <row r="609" ht="15.75">
      <c r="D609" s="181"/>
    </row>
    <row r="610" ht="15.75">
      <c r="D610" s="181"/>
    </row>
    <row r="611" ht="15.75">
      <c r="D611" s="181"/>
    </row>
    <row r="612" ht="15.75">
      <c r="D612" s="181"/>
    </row>
    <row r="613" ht="15.75">
      <c r="D613" s="181"/>
    </row>
    <row r="614" ht="15.75">
      <c r="D614" s="181"/>
    </row>
    <row r="615" ht="15.75">
      <c r="D615" s="181"/>
    </row>
    <row r="616" ht="15.75">
      <c r="D616" s="181"/>
    </row>
    <row r="617" ht="15.75">
      <c r="D617" s="181"/>
    </row>
    <row r="618" ht="15.75">
      <c r="D618" s="181"/>
    </row>
    <row r="619" ht="15.75">
      <c r="D619" s="181"/>
    </row>
    <row r="620" ht="15.75">
      <c r="D620" s="181"/>
    </row>
    <row r="621" ht="15.75">
      <c r="D621" s="181"/>
    </row>
    <row r="622" ht="15.75">
      <c r="D622" s="181"/>
    </row>
    <row r="623" ht="15.75">
      <c r="D623" s="181"/>
    </row>
    <row r="624" ht="15.75">
      <c r="D624" s="181"/>
    </row>
    <row r="625" ht="15.75">
      <c r="D625" s="181"/>
    </row>
    <row r="626" ht="15.75">
      <c r="D626" s="181"/>
    </row>
    <row r="627" ht="15.75">
      <c r="D627" s="181"/>
    </row>
    <row r="628" ht="15.75">
      <c r="D628" s="181"/>
    </row>
    <row r="629" ht="15.75">
      <c r="D629" s="181"/>
    </row>
    <row r="630" ht="15.75">
      <c r="D630" s="181"/>
    </row>
    <row r="631" ht="15.75">
      <c r="D631" s="181"/>
    </row>
    <row r="632" ht="15.75">
      <c r="D632" s="181"/>
    </row>
    <row r="633" ht="15.75">
      <c r="D633" s="181"/>
    </row>
    <row r="634" ht="15.75">
      <c r="D634" s="181"/>
    </row>
    <row r="635" ht="15.75">
      <c r="D635" s="181"/>
    </row>
    <row r="636" ht="15.75">
      <c r="D636" s="181"/>
    </row>
    <row r="637" ht="15.75">
      <c r="D637" s="181"/>
    </row>
    <row r="638" ht="15.75">
      <c r="D638" s="181"/>
    </row>
    <row r="639" ht="15.75">
      <c r="D639" s="181"/>
    </row>
    <row r="640" ht="15.75">
      <c r="D640" s="181"/>
    </row>
    <row r="641" ht="15.75">
      <c r="D641" s="181"/>
    </row>
    <row r="642" ht="15.75">
      <c r="D642" s="181"/>
    </row>
    <row r="643" ht="15.75">
      <c r="D643" s="181"/>
    </row>
    <row r="644" ht="15.75">
      <c r="D644" s="181"/>
    </row>
    <row r="645" ht="15.75">
      <c r="D645" s="181"/>
    </row>
    <row r="646" ht="15.75">
      <c r="D646" s="181"/>
    </row>
    <row r="647" ht="15.75">
      <c r="D647" s="181"/>
    </row>
    <row r="648" ht="15.75">
      <c r="D648" s="181"/>
    </row>
    <row r="649" ht="15.75">
      <c r="D649" s="181"/>
    </row>
    <row r="650" ht="15.75">
      <c r="D650" s="181"/>
    </row>
    <row r="651" ht="15.75">
      <c r="D651" s="181"/>
    </row>
    <row r="652" ht="15.75">
      <c r="D652" s="181"/>
    </row>
    <row r="653" ht="15.75">
      <c r="D653" s="181"/>
    </row>
    <row r="654" ht="15.75">
      <c r="D654" s="181"/>
    </row>
    <row r="655" ht="15.75">
      <c r="D655" s="181"/>
    </row>
    <row r="656" ht="15.75">
      <c r="D656" s="181"/>
    </row>
    <row r="657" ht="15.75">
      <c r="D657" s="181"/>
    </row>
    <row r="658" ht="15.75">
      <c r="D658" s="181"/>
    </row>
    <row r="659" ht="15.75">
      <c r="D659" s="181"/>
    </row>
    <row r="660" ht="15.75">
      <c r="D660" s="181"/>
    </row>
    <row r="661" ht="15.75">
      <c r="D661" s="181"/>
    </row>
    <row r="662" ht="15.75">
      <c r="D662" s="181"/>
    </row>
    <row r="663" ht="15.75">
      <c r="D663" s="181"/>
    </row>
    <row r="664" ht="15.75">
      <c r="D664" s="181"/>
    </row>
    <row r="665" ht="15.75">
      <c r="D665" s="181"/>
    </row>
    <row r="666" ht="15.75">
      <c r="D666" s="181"/>
    </row>
    <row r="667" ht="15.75">
      <c r="D667" s="181"/>
    </row>
    <row r="668" ht="15.75">
      <c r="D668" s="181"/>
    </row>
    <row r="669" ht="15.75">
      <c r="D669" s="181"/>
    </row>
    <row r="670" ht="15.75">
      <c r="D670" s="181"/>
    </row>
    <row r="671" ht="15.75">
      <c r="D671" s="181"/>
    </row>
    <row r="672" ht="15.75">
      <c r="D672" s="181"/>
    </row>
    <row r="673" ht="15.75">
      <c r="D673" s="181"/>
    </row>
    <row r="674" ht="15.75">
      <c r="D674" s="181"/>
    </row>
    <row r="675" ht="15.75">
      <c r="D675" s="181"/>
    </row>
    <row r="676" ht="15.75">
      <c r="D676" s="181"/>
    </row>
    <row r="677" ht="15.75">
      <c r="D677" s="181"/>
    </row>
    <row r="678" ht="15.75">
      <c r="D678" s="181"/>
    </row>
    <row r="679" ht="15.75">
      <c r="D679" s="181"/>
    </row>
    <row r="680" ht="15.75">
      <c r="D680" s="181"/>
    </row>
    <row r="681" ht="15.75">
      <c r="D681" s="181"/>
    </row>
    <row r="682" ht="15.75">
      <c r="D682" s="181"/>
    </row>
    <row r="683" ht="15.75">
      <c r="D683" s="181"/>
    </row>
    <row r="684" ht="15.75">
      <c r="D684" s="181"/>
    </row>
    <row r="685" ht="15.75">
      <c r="D685" s="181"/>
    </row>
    <row r="686" ht="15.75">
      <c r="D686" s="181"/>
    </row>
    <row r="687" ht="15.75">
      <c r="D687" s="181"/>
    </row>
    <row r="688" ht="15.75">
      <c r="D688" s="181"/>
    </row>
    <row r="689" ht="15.75">
      <c r="D689" s="181"/>
    </row>
    <row r="690" ht="15.75">
      <c r="D690" s="181"/>
    </row>
    <row r="691" ht="15.75">
      <c r="D691" s="181"/>
    </row>
    <row r="692" ht="15.75">
      <c r="D692" s="181"/>
    </row>
    <row r="693" ht="15.75">
      <c r="D693" s="181"/>
    </row>
    <row r="694" ht="15.75">
      <c r="D694" s="181"/>
    </row>
    <row r="695" ht="15.75">
      <c r="D695" s="181"/>
    </row>
    <row r="696" ht="15.75">
      <c r="D696" s="181"/>
    </row>
    <row r="697" ht="15.75">
      <c r="D697" s="181"/>
    </row>
    <row r="698" ht="15.75">
      <c r="D698" s="181"/>
    </row>
    <row r="699" ht="15.75">
      <c r="D699" s="181"/>
    </row>
    <row r="700" ht="15.75">
      <c r="D700" s="181"/>
    </row>
    <row r="701" ht="15.75">
      <c r="D701" s="181"/>
    </row>
    <row r="702" ht="15.75">
      <c r="D702" s="181"/>
    </row>
    <row r="703" ht="15.75">
      <c r="D703" s="181"/>
    </row>
    <row r="704" ht="15.75">
      <c r="D704" s="181"/>
    </row>
    <row r="705" ht="15.75">
      <c r="D705" s="181"/>
    </row>
    <row r="706" ht="15.75">
      <c r="D706" s="181"/>
    </row>
    <row r="707" ht="15.75">
      <c r="D707" s="181"/>
    </row>
    <row r="708" ht="15.75">
      <c r="D708" s="181"/>
    </row>
    <row r="709" ht="15.75">
      <c r="D709" s="181"/>
    </row>
    <row r="710" ht="15.75">
      <c r="D710" s="181"/>
    </row>
    <row r="711" ht="15.75">
      <c r="D711" s="181"/>
    </row>
    <row r="712" ht="15.75">
      <c r="D712" s="181"/>
    </row>
    <row r="713" ht="15.75">
      <c r="D713" s="181"/>
    </row>
    <row r="714" ht="15.75">
      <c r="D714" s="181"/>
    </row>
    <row r="715" ht="15.75">
      <c r="D715" s="181"/>
    </row>
    <row r="716" ht="15.75">
      <c r="D716" s="181"/>
    </row>
    <row r="717" ht="15.75">
      <c r="D717" s="181"/>
    </row>
    <row r="718" ht="15.75">
      <c r="D718" s="181"/>
    </row>
    <row r="719" ht="15.75">
      <c r="D719" s="181"/>
    </row>
    <row r="720" ht="15.75">
      <c r="D720" s="181"/>
    </row>
    <row r="721" ht="15.75">
      <c r="D721" s="181"/>
    </row>
    <row r="722" ht="15.75">
      <c r="D722" s="181"/>
    </row>
    <row r="723" ht="15.75">
      <c r="D723" s="181"/>
    </row>
    <row r="724" ht="15.75">
      <c r="D724" s="181"/>
    </row>
    <row r="725" ht="15.75">
      <c r="D725" s="181"/>
    </row>
    <row r="726" ht="15.75">
      <c r="D726" s="181"/>
    </row>
    <row r="727" ht="15.75">
      <c r="D727" s="181"/>
    </row>
    <row r="728" ht="15.75">
      <c r="D728" s="181"/>
    </row>
    <row r="729" ht="15.75">
      <c r="D729" s="181"/>
    </row>
    <row r="730" ht="15.75">
      <c r="D730" s="181"/>
    </row>
    <row r="731" ht="15.75">
      <c r="D731" s="181"/>
    </row>
    <row r="732" ht="15.75">
      <c r="D732" s="181"/>
    </row>
    <row r="733" ht="15.75">
      <c r="D733" s="181"/>
    </row>
    <row r="734" ht="15.75">
      <c r="D734" s="181"/>
    </row>
    <row r="735" ht="15.75">
      <c r="D735" s="181"/>
    </row>
    <row r="736" ht="15.75">
      <c r="D736" s="181"/>
    </row>
    <row r="737" ht="15.75">
      <c r="D737" s="181"/>
    </row>
    <row r="738" ht="15.75">
      <c r="D738" s="181"/>
    </row>
    <row r="739" ht="15.75">
      <c r="D739" s="181"/>
    </row>
    <row r="740" ht="15.75">
      <c r="D740" s="181"/>
    </row>
    <row r="741" ht="15.75">
      <c r="D741" s="181"/>
    </row>
    <row r="742" ht="15.75">
      <c r="D742" s="181"/>
    </row>
    <row r="743" ht="15.75">
      <c r="D743" s="181"/>
    </row>
    <row r="744" ht="15.75">
      <c r="D744" s="181"/>
    </row>
    <row r="745" ht="15.75">
      <c r="D745" s="181"/>
    </row>
    <row r="746" ht="15.75">
      <c r="D746" s="181"/>
    </row>
    <row r="747" ht="15.75">
      <c r="D747" s="181"/>
    </row>
    <row r="748" ht="15.75">
      <c r="D748" s="181"/>
    </row>
    <row r="749" ht="15.75">
      <c r="D749" s="181"/>
    </row>
    <row r="750" ht="15.75">
      <c r="D750" s="181"/>
    </row>
    <row r="751" ht="15.75">
      <c r="D751" s="181"/>
    </row>
    <row r="752" ht="15.75">
      <c r="D752" s="181"/>
    </row>
    <row r="753" ht="15.75">
      <c r="D753" s="181"/>
    </row>
    <row r="754" ht="15.75">
      <c r="D754" s="181"/>
    </row>
    <row r="755" ht="15.75">
      <c r="D755" s="181"/>
    </row>
    <row r="756" ht="15.75">
      <c r="D756" s="181"/>
    </row>
    <row r="757" ht="15.75">
      <c r="D757" s="181"/>
    </row>
    <row r="758" ht="15.75">
      <c r="D758" s="181"/>
    </row>
    <row r="759" ht="15.75">
      <c r="D759" s="181"/>
    </row>
    <row r="760" ht="15.75">
      <c r="D760" s="181"/>
    </row>
    <row r="761" ht="15.75">
      <c r="D761" s="181"/>
    </row>
    <row r="762" ht="15.75">
      <c r="D762" s="181"/>
    </row>
    <row r="763" ht="15.75">
      <c r="D763" s="181"/>
    </row>
    <row r="764" ht="15.75">
      <c r="D764" s="181"/>
    </row>
    <row r="765" ht="15.75">
      <c r="D765" s="181"/>
    </row>
    <row r="766" ht="15.75">
      <c r="D766" s="181"/>
    </row>
    <row r="767" ht="15.75">
      <c r="D767" s="181"/>
    </row>
    <row r="768" ht="15.75">
      <c r="D768" s="181"/>
    </row>
    <row r="769" ht="15.75">
      <c r="D769" s="181"/>
    </row>
    <row r="770" ht="15.75">
      <c r="D770" s="181"/>
    </row>
    <row r="771" ht="15.75">
      <c r="D771" s="181"/>
    </row>
    <row r="772" ht="15.75">
      <c r="D772" s="181"/>
    </row>
    <row r="773" ht="15.75">
      <c r="D773" s="181"/>
    </row>
    <row r="774" ht="15.75">
      <c r="D774" s="181"/>
    </row>
    <row r="775" ht="15.75">
      <c r="D775" s="181"/>
    </row>
    <row r="776" ht="15.75">
      <c r="D776" s="181"/>
    </row>
    <row r="777" ht="15.75">
      <c r="D777" s="181"/>
    </row>
    <row r="778" ht="15.75">
      <c r="D778" s="181"/>
    </row>
    <row r="779" ht="15.75">
      <c r="D779" s="181"/>
    </row>
    <row r="780" ht="15.75">
      <c r="D780" s="181"/>
    </row>
    <row r="781" ht="15.75">
      <c r="D781" s="181"/>
    </row>
    <row r="782" ht="15.75">
      <c r="D782" s="181"/>
    </row>
    <row r="783" ht="15.75">
      <c r="D783" s="181"/>
    </row>
    <row r="784" ht="15.75">
      <c r="D784" s="181"/>
    </row>
    <row r="785" ht="15.75">
      <c r="D785" s="181"/>
    </row>
    <row r="786" ht="15.75">
      <c r="D786" s="181"/>
    </row>
    <row r="787" ht="15.75">
      <c r="D787" s="181"/>
    </row>
    <row r="788" ht="15.75">
      <c r="D788" s="181"/>
    </row>
    <row r="789" ht="15.75">
      <c r="D789" s="181"/>
    </row>
    <row r="790" ht="15.75">
      <c r="D790" s="181"/>
    </row>
    <row r="791" ht="15.75">
      <c r="D791" s="181"/>
    </row>
    <row r="792" ht="15.75">
      <c r="D792" s="181"/>
    </row>
    <row r="793" ht="15.75">
      <c r="D793" s="181"/>
    </row>
    <row r="794" ht="15.75">
      <c r="D794" s="181"/>
    </row>
    <row r="795" ht="15.75">
      <c r="D795" s="181"/>
    </row>
    <row r="796" ht="15.75">
      <c r="D796" s="181"/>
    </row>
    <row r="797" ht="15.75">
      <c r="D797" s="181"/>
    </row>
    <row r="798" ht="15.75">
      <c r="D798" s="181"/>
    </row>
    <row r="799" ht="15.75">
      <c r="D799" s="181"/>
    </row>
    <row r="800" ht="15.75">
      <c r="D800" s="181"/>
    </row>
    <row r="801" ht="15.75">
      <c r="D801" s="181"/>
    </row>
    <row r="802" ht="15.75">
      <c r="D802" s="181"/>
    </row>
    <row r="803" ht="15.75">
      <c r="D803" s="181"/>
    </row>
    <row r="804" ht="15.75">
      <c r="D804" s="181"/>
    </row>
    <row r="805" ht="15.75">
      <c r="D805" s="181"/>
    </row>
    <row r="806" ht="15.75">
      <c r="D806" s="181"/>
    </row>
    <row r="807" ht="15.75">
      <c r="D807" s="181"/>
    </row>
    <row r="808" ht="15.75">
      <c r="D808" s="181"/>
    </row>
    <row r="809" ht="15.75">
      <c r="D809" s="181"/>
    </row>
    <row r="810" ht="15.75">
      <c r="D810" s="181"/>
    </row>
    <row r="811" ht="15.75">
      <c r="D811" s="181"/>
    </row>
    <row r="812" ht="15.75">
      <c r="D812" s="181"/>
    </row>
    <row r="813" ht="15.75">
      <c r="D813" s="181"/>
    </row>
    <row r="814" ht="15.75">
      <c r="D814" s="181"/>
    </row>
    <row r="815" ht="15.75">
      <c r="D815" s="181"/>
    </row>
    <row r="816" ht="15.75">
      <c r="D816" s="181"/>
    </row>
    <row r="817" ht="15.75">
      <c r="D817" s="181"/>
    </row>
    <row r="818" ht="15.75">
      <c r="D818" s="181"/>
    </row>
    <row r="819" ht="15.75">
      <c r="D819" s="181"/>
    </row>
    <row r="820" ht="15.75">
      <c r="D820" s="181"/>
    </row>
    <row r="821" ht="15.75">
      <c r="D821" s="181"/>
    </row>
    <row r="822" ht="15.75">
      <c r="D822" s="181"/>
    </row>
    <row r="823" ht="15.75">
      <c r="D823" s="181"/>
    </row>
    <row r="824" ht="15.75">
      <c r="D824" s="181"/>
    </row>
    <row r="825" ht="15.75">
      <c r="D825" s="181"/>
    </row>
    <row r="826" ht="15.75">
      <c r="D826" s="181"/>
    </row>
    <row r="827" ht="15.75">
      <c r="D827" s="181"/>
    </row>
    <row r="828" ht="15.75">
      <c r="D828" s="181"/>
    </row>
    <row r="829" ht="15.75">
      <c r="D829" s="181"/>
    </row>
    <row r="830" ht="15.75">
      <c r="D830" s="181"/>
    </row>
    <row r="831" ht="15.75">
      <c r="D831" s="181"/>
    </row>
    <row r="832" ht="15.75">
      <c r="D832" s="181"/>
    </row>
    <row r="833" ht="15.75">
      <c r="D833" s="181"/>
    </row>
    <row r="834" ht="15.75">
      <c r="D834" s="181"/>
    </row>
    <row r="835" ht="15.75">
      <c r="D835" s="181"/>
    </row>
    <row r="836" ht="15.75">
      <c r="D836" s="181"/>
    </row>
    <row r="837" ht="15.75">
      <c r="D837" s="181"/>
    </row>
    <row r="838" ht="15.75">
      <c r="D838" s="181"/>
    </row>
    <row r="839" ht="15.75">
      <c r="D839" s="181"/>
    </row>
    <row r="840" ht="15.75">
      <c r="D840" s="181"/>
    </row>
    <row r="841" ht="15.75">
      <c r="D841" s="181"/>
    </row>
    <row r="842" ht="15.75">
      <c r="D842" s="181"/>
    </row>
    <row r="843" ht="15.75">
      <c r="D843" s="181"/>
    </row>
    <row r="844" ht="15.75">
      <c r="D844" s="181"/>
    </row>
    <row r="845" ht="15.75">
      <c r="D845" s="181"/>
    </row>
    <row r="846" ht="15.75">
      <c r="D846" s="181"/>
    </row>
    <row r="847" ht="15.75">
      <c r="D847" s="181"/>
    </row>
    <row r="848" ht="15.75">
      <c r="D848" s="181"/>
    </row>
    <row r="849" ht="15.75">
      <c r="D849" s="181"/>
    </row>
    <row r="850" ht="15.75">
      <c r="D850" s="181"/>
    </row>
    <row r="851" ht="15.75">
      <c r="D851" s="181"/>
    </row>
    <row r="852" ht="15.75">
      <c r="D852" s="181"/>
    </row>
    <row r="853" ht="15.75">
      <c r="D853" s="181"/>
    </row>
    <row r="854" ht="15.75">
      <c r="D854" s="181"/>
    </row>
    <row r="855" ht="15.75">
      <c r="D855" s="181"/>
    </row>
    <row r="856" ht="15.75">
      <c r="D856" s="181"/>
    </row>
    <row r="857" ht="15.75">
      <c r="D857" s="181"/>
    </row>
    <row r="858" ht="15.75">
      <c r="D858" s="181"/>
    </row>
    <row r="859" ht="15.75">
      <c r="D859" s="181"/>
    </row>
    <row r="860" ht="15.75">
      <c r="D860" s="181"/>
    </row>
    <row r="861" ht="15.75">
      <c r="D861" s="181"/>
    </row>
    <row r="862" ht="15.75">
      <c r="D862" s="181"/>
    </row>
    <row r="863" ht="15.75">
      <c r="D863" s="181"/>
    </row>
    <row r="864" ht="15.75">
      <c r="D864" s="181"/>
    </row>
    <row r="865" ht="15.75">
      <c r="D865" s="181"/>
    </row>
    <row r="866" ht="15.75">
      <c r="D866" s="181"/>
    </row>
    <row r="867" ht="15.75">
      <c r="D867" s="181"/>
    </row>
    <row r="868" ht="15.75">
      <c r="D868" s="181"/>
    </row>
    <row r="869" ht="15.75">
      <c r="D869" s="181"/>
    </row>
    <row r="870" ht="15.75">
      <c r="D870" s="181"/>
    </row>
    <row r="871" ht="15.75">
      <c r="D871" s="181"/>
    </row>
    <row r="872" ht="15.75">
      <c r="D872" s="181"/>
    </row>
    <row r="873" ht="15.75">
      <c r="D873" s="181"/>
    </row>
    <row r="874" ht="15.75">
      <c r="D874" s="181"/>
    </row>
    <row r="875" ht="15.75">
      <c r="D875" s="181"/>
    </row>
    <row r="876" ht="15.75">
      <c r="D876" s="181"/>
    </row>
    <row r="877" ht="15.75">
      <c r="D877" s="181"/>
    </row>
    <row r="878" ht="15.75">
      <c r="D878" s="181"/>
    </row>
    <row r="879" ht="15.75">
      <c r="D879" s="181"/>
    </row>
    <row r="880" ht="15.75">
      <c r="D880" s="181"/>
    </row>
    <row r="881" ht="15.75">
      <c r="D881" s="181"/>
    </row>
    <row r="882" ht="15.75">
      <c r="D882" s="181"/>
    </row>
    <row r="883" ht="15.75">
      <c r="D883" s="181"/>
    </row>
    <row r="884" ht="15.75">
      <c r="D884" s="181"/>
    </row>
    <row r="885" ht="15.75">
      <c r="D885" s="181"/>
    </row>
    <row r="886" ht="15.75">
      <c r="D886" s="181"/>
    </row>
    <row r="887" ht="15.75">
      <c r="D887" s="181"/>
    </row>
    <row r="888" ht="15.75">
      <c r="D888" s="181"/>
    </row>
    <row r="889" ht="15.75">
      <c r="D889" s="181"/>
    </row>
    <row r="890" ht="15.75">
      <c r="D890" s="181"/>
    </row>
    <row r="891" ht="15.75">
      <c r="D891" s="181"/>
    </row>
    <row r="892" ht="15.75">
      <c r="D892" s="181"/>
    </row>
    <row r="893" ht="15.75">
      <c r="D893" s="181"/>
    </row>
    <row r="894" ht="15.75">
      <c r="D894" s="181"/>
    </row>
    <row r="895" ht="15.75">
      <c r="D895" s="181"/>
    </row>
    <row r="896" ht="15.75">
      <c r="D896" s="181"/>
    </row>
    <row r="897" ht="15.75">
      <c r="D897" s="181"/>
    </row>
    <row r="898" ht="15.75">
      <c r="D898" s="181"/>
    </row>
    <row r="899" ht="15.75">
      <c r="D899" s="181"/>
    </row>
    <row r="900" ht="15.75">
      <c r="D900" s="181"/>
    </row>
    <row r="901" ht="15.75">
      <c r="D901" s="181"/>
    </row>
    <row r="902" ht="15.75">
      <c r="D902" s="181"/>
    </row>
    <row r="903" ht="15.75">
      <c r="D903" s="181"/>
    </row>
    <row r="904" ht="15.75">
      <c r="D904" s="181"/>
    </row>
    <row r="905" ht="15.75">
      <c r="D905" s="181"/>
    </row>
    <row r="906" ht="15.75">
      <c r="D906" s="181"/>
    </row>
    <row r="907" ht="15.75">
      <c r="D907" s="181"/>
    </row>
    <row r="908" ht="15.75">
      <c r="D908" s="181"/>
    </row>
    <row r="909" ht="15.75">
      <c r="D909" s="181"/>
    </row>
    <row r="910" ht="15.75">
      <c r="D910" s="181"/>
    </row>
    <row r="911" ht="15.75">
      <c r="D911" s="181"/>
    </row>
    <row r="912" ht="15.75">
      <c r="D912" s="181"/>
    </row>
    <row r="913" ht="15.75">
      <c r="D913" s="181"/>
    </row>
    <row r="914" ht="15.75">
      <c r="D914" s="181"/>
    </row>
    <row r="915" ht="15.75">
      <c r="D915" s="181"/>
    </row>
    <row r="916" ht="15.75">
      <c r="D916" s="181"/>
    </row>
    <row r="917" ht="15.75">
      <c r="D917" s="181"/>
    </row>
    <row r="918" ht="15.75">
      <c r="D918" s="181"/>
    </row>
    <row r="919" ht="15.75">
      <c r="D919" s="181"/>
    </row>
    <row r="920" ht="15.75">
      <c r="D920" s="181"/>
    </row>
    <row r="921" ht="15.75">
      <c r="D921" s="181"/>
    </row>
    <row r="922" ht="15.75">
      <c r="D922" s="181"/>
    </row>
    <row r="923" ht="15.75">
      <c r="D923" s="181"/>
    </row>
    <row r="924" ht="15.75">
      <c r="D924" s="181"/>
    </row>
    <row r="925" ht="15.75">
      <c r="D925" s="181"/>
    </row>
    <row r="926" ht="15.75">
      <c r="D926" s="181"/>
    </row>
    <row r="927" ht="15.75">
      <c r="D927" s="181"/>
    </row>
    <row r="928" ht="15.75">
      <c r="D928" s="181"/>
    </row>
    <row r="929" ht="15.75">
      <c r="D929" s="181"/>
    </row>
    <row r="930" ht="15.75">
      <c r="D930" s="181"/>
    </row>
    <row r="931" ht="15.75">
      <c r="D931" s="181"/>
    </row>
    <row r="932" ht="15.75">
      <c r="D932" s="181"/>
    </row>
    <row r="933" ht="15.75">
      <c r="D933" s="181"/>
    </row>
    <row r="934" ht="15.75">
      <c r="D934" s="181"/>
    </row>
    <row r="935" ht="15.75">
      <c r="D935" s="181"/>
    </row>
    <row r="936" ht="15.75">
      <c r="D936" s="181"/>
    </row>
    <row r="937" ht="15.75">
      <c r="D937" s="181"/>
    </row>
    <row r="938" ht="15.75">
      <c r="D938" s="181"/>
    </row>
    <row r="939" ht="15.75">
      <c r="D939" s="181"/>
    </row>
    <row r="940" ht="15.75">
      <c r="D940" s="181"/>
    </row>
    <row r="941" ht="15.75">
      <c r="D941" s="181"/>
    </row>
    <row r="942" ht="15.75">
      <c r="D942" s="181"/>
    </row>
    <row r="943" ht="15.75">
      <c r="D943" s="181"/>
    </row>
    <row r="944" ht="15.75">
      <c r="D944" s="181"/>
    </row>
    <row r="945" ht="15.75">
      <c r="D945" s="181"/>
    </row>
    <row r="946" ht="15.75">
      <c r="D946" s="181"/>
    </row>
    <row r="947" ht="15.75">
      <c r="D947" s="181"/>
    </row>
    <row r="948" ht="15.75">
      <c r="D948" s="181"/>
    </row>
    <row r="949" ht="15.75">
      <c r="D949" s="181"/>
    </row>
    <row r="950" ht="15.75">
      <c r="D950" s="181"/>
    </row>
    <row r="951" ht="15.75">
      <c r="D951" s="181"/>
    </row>
    <row r="952" ht="15.75">
      <c r="D952" s="181"/>
    </row>
    <row r="953" ht="15.75">
      <c r="D953" s="181"/>
    </row>
    <row r="954" ht="15.75">
      <c r="D954" s="181"/>
    </row>
    <row r="955" ht="15.75">
      <c r="D955" s="181"/>
    </row>
    <row r="956" ht="15.75">
      <c r="D956" s="181"/>
    </row>
    <row r="957" ht="15.75">
      <c r="D957" s="181"/>
    </row>
    <row r="958" ht="15.75">
      <c r="D958" s="181"/>
    </row>
    <row r="959" ht="15.75">
      <c r="D959" s="181"/>
    </row>
    <row r="960" ht="15.75">
      <c r="D960" s="181"/>
    </row>
    <row r="961" ht="15.75">
      <c r="D961" s="181"/>
    </row>
    <row r="962" ht="15.75">
      <c r="D962" s="181"/>
    </row>
    <row r="963" ht="15.75">
      <c r="D963" s="181"/>
    </row>
    <row r="964" ht="15.75">
      <c r="D964" s="181"/>
    </row>
    <row r="965" ht="15.75">
      <c r="D965" s="181"/>
    </row>
    <row r="966" ht="15.75">
      <c r="D966" s="181"/>
    </row>
    <row r="967" ht="15.75">
      <c r="D967" s="181"/>
    </row>
    <row r="968" ht="15.75">
      <c r="D968" s="181"/>
    </row>
    <row r="969" ht="15.75">
      <c r="D969" s="181"/>
    </row>
    <row r="970" ht="15.75">
      <c r="D970" s="181"/>
    </row>
    <row r="971" ht="15.75">
      <c r="D971" s="181"/>
    </row>
    <row r="972" ht="15.75">
      <c r="D972" s="181"/>
    </row>
    <row r="973" ht="15.75">
      <c r="D973" s="181"/>
    </row>
    <row r="974" ht="15.75">
      <c r="D974" s="181"/>
    </row>
    <row r="975" ht="15.75">
      <c r="D975" s="181"/>
    </row>
    <row r="976" ht="15.75">
      <c r="D976" s="181"/>
    </row>
    <row r="977" ht="15.75">
      <c r="D977" s="181"/>
    </row>
    <row r="978" ht="15.75">
      <c r="D978" s="181"/>
    </row>
    <row r="979" ht="15.75">
      <c r="D979" s="181"/>
    </row>
    <row r="980" ht="15.75">
      <c r="D980" s="181"/>
    </row>
    <row r="981" ht="15.75">
      <c r="D981" s="181"/>
    </row>
    <row r="982" ht="15.75">
      <c r="D982" s="181"/>
    </row>
    <row r="983" ht="15.75">
      <c r="D983" s="181"/>
    </row>
    <row r="984" ht="15.75">
      <c r="D984" s="181"/>
    </row>
    <row r="985" ht="15.75">
      <c r="D985" s="181"/>
    </row>
    <row r="986" ht="15.75">
      <c r="D986" s="181"/>
    </row>
    <row r="987" ht="15.75">
      <c r="D987" s="181"/>
    </row>
    <row r="988" ht="15.75">
      <c r="D988" s="181"/>
    </row>
    <row r="989" ht="15.75">
      <c r="D989" s="181"/>
    </row>
    <row r="990" ht="15.75">
      <c r="D990" s="181"/>
    </row>
    <row r="991" ht="15.75">
      <c r="D991" s="181"/>
    </row>
    <row r="992" ht="15.75">
      <c r="D992" s="181"/>
    </row>
    <row r="993" ht="15.75">
      <c r="D993" s="181"/>
    </row>
    <row r="994" ht="15.75">
      <c r="D994" s="181"/>
    </row>
    <row r="995" ht="15.75">
      <c r="D995" s="181"/>
    </row>
    <row r="996" ht="15.75">
      <c r="D996" s="181"/>
    </row>
    <row r="997" ht="15.75">
      <c r="D997" s="181"/>
    </row>
    <row r="998" ht="15.75">
      <c r="D998" s="181"/>
    </row>
    <row r="999" ht="15.75">
      <c r="D999" s="181"/>
    </row>
    <row r="1000" ht="15.75">
      <c r="D1000" s="181"/>
    </row>
    <row r="1001" ht="15.75">
      <c r="D1001" s="181"/>
    </row>
    <row r="1002" ht="15.75">
      <c r="D1002" s="181"/>
    </row>
    <row r="1003" ht="15.75">
      <c r="D1003" s="181"/>
    </row>
    <row r="1004" ht="15.75">
      <c r="D1004" s="181"/>
    </row>
    <row r="1005" ht="15.75">
      <c r="D1005" s="181"/>
    </row>
    <row r="1006" ht="15.75">
      <c r="D1006" s="181"/>
    </row>
    <row r="1007" ht="15.75">
      <c r="D1007" s="181"/>
    </row>
    <row r="1008" ht="15.75">
      <c r="D1008" s="181"/>
    </row>
    <row r="1009" ht="15.75">
      <c r="D1009" s="181"/>
    </row>
    <row r="1010" ht="15.75">
      <c r="D1010" s="181"/>
    </row>
    <row r="1011" ht="15.75">
      <c r="D1011" s="181"/>
    </row>
    <row r="1012" ht="15.75">
      <c r="D1012" s="181"/>
    </row>
    <row r="1013" ht="15.75">
      <c r="D1013" s="181"/>
    </row>
    <row r="1014" ht="15.75">
      <c r="D1014" s="181"/>
    </row>
    <row r="1015" ht="15.75">
      <c r="D1015" s="181"/>
    </row>
    <row r="1016" ht="15.75">
      <c r="D1016" s="181"/>
    </row>
    <row r="1017" ht="15.75">
      <c r="D1017" s="181"/>
    </row>
    <row r="1018" ht="15.75">
      <c r="D1018" s="181"/>
    </row>
    <row r="1019" ht="15.75">
      <c r="D1019" s="181"/>
    </row>
    <row r="1020" ht="15.75">
      <c r="D1020" s="181"/>
    </row>
    <row r="1021" ht="15.75">
      <c r="D1021" s="181"/>
    </row>
    <row r="1022" ht="15.75">
      <c r="D1022" s="181"/>
    </row>
    <row r="1023" ht="15.75">
      <c r="D1023" s="181"/>
    </row>
    <row r="1024" ht="15.75">
      <c r="D1024" s="181"/>
    </row>
    <row r="1025" ht="15.75">
      <c r="D1025" s="181"/>
    </row>
    <row r="1026" ht="15.75">
      <c r="D1026" s="181"/>
    </row>
    <row r="1027" ht="15.75">
      <c r="D1027" s="181"/>
    </row>
    <row r="1028" ht="15.75">
      <c r="D1028" s="181"/>
    </row>
    <row r="1029" ht="15.75">
      <c r="D1029" s="181"/>
    </row>
    <row r="1030" ht="15.75">
      <c r="D1030" s="181"/>
    </row>
    <row r="1031" ht="15.75">
      <c r="D1031" s="181"/>
    </row>
    <row r="1032" ht="15.75">
      <c r="D1032" s="181"/>
    </row>
    <row r="1033" ht="15.75">
      <c r="D1033" s="181"/>
    </row>
    <row r="1034" ht="15.75">
      <c r="D1034" s="181"/>
    </row>
    <row r="1035" ht="15.75">
      <c r="D1035" s="181"/>
    </row>
    <row r="1036" ht="15.75">
      <c r="D1036" s="181"/>
    </row>
    <row r="1037" ht="15.75">
      <c r="D1037" s="181"/>
    </row>
    <row r="1038" ht="15.75">
      <c r="D1038" s="181"/>
    </row>
    <row r="1039" ht="15.75">
      <c r="D1039" s="181"/>
    </row>
    <row r="1040" ht="15.75">
      <c r="D1040" s="181"/>
    </row>
    <row r="1041" ht="15.75">
      <c r="D1041" s="181"/>
    </row>
    <row r="1042" ht="15.75">
      <c r="D1042" s="181"/>
    </row>
    <row r="1043" ht="15.75">
      <c r="D1043" s="181"/>
    </row>
    <row r="1044" ht="15.75">
      <c r="D1044" s="181"/>
    </row>
    <row r="1045" ht="15.75">
      <c r="D1045" s="181"/>
    </row>
    <row r="1046" ht="15.75">
      <c r="D1046" s="181"/>
    </row>
    <row r="1047" ht="15.75">
      <c r="D1047" s="181"/>
    </row>
    <row r="1048" ht="15.75">
      <c r="D1048" s="181"/>
    </row>
    <row r="1049" ht="15.75">
      <c r="D1049" s="181"/>
    </row>
    <row r="1050" ht="15.75">
      <c r="D1050" s="181"/>
    </row>
    <row r="1051" ht="15.75">
      <c r="D1051" s="181"/>
    </row>
    <row r="1052" ht="15.75">
      <c r="D1052" s="181"/>
    </row>
    <row r="1053" ht="15.75">
      <c r="D1053" s="181"/>
    </row>
    <row r="1054" ht="15.75">
      <c r="D1054" s="181"/>
    </row>
    <row r="1055" ht="15.75">
      <c r="D1055" s="181"/>
    </row>
    <row r="1056" ht="15.75">
      <c r="D1056" s="181"/>
    </row>
    <row r="1057" ht="15.75">
      <c r="D1057" s="181"/>
    </row>
    <row r="1058" ht="15.75">
      <c r="D1058" s="181"/>
    </row>
    <row r="1059" ht="15.75">
      <c r="D1059" s="181"/>
    </row>
    <row r="1060" ht="15.75">
      <c r="D1060" s="181"/>
    </row>
    <row r="1061" ht="15.75">
      <c r="D1061" s="181"/>
    </row>
    <row r="1062" ht="15.75">
      <c r="D1062" s="181"/>
    </row>
    <row r="1063" ht="15.75">
      <c r="D1063" s="181"/>
    </row>
    <row r="1064" ht="15.75">
      <c r="D1064" s="181"/>
    </row>
    <row r="1065" ht="15.75">
      <c r="D1065" s="181"/>
    </row>
    <row r="1066" ht="15.75">
      <c r="D1066" s="181"/>
    </row>
    <row r="1067" ht="15.75">
      <c r="D1067" s="181"/>
    </row>
    <row r="1068" ht="15.75">
      <c r="D1068" s="181"/>
    </row>
    <row r="1069" ht="15.75">
      <c r="D1069" s="181"/>
    </row>
    <row r="1070" ht="15.75">
      <c r="D1070" s="181"/>
    </row>
    <row r="1071" ht="15.75">
      <c r="D1071" s="181"/>
    </row>
    <row r="1072" ht="15.75">
      <c r="D1072" s="181"/>
    </row>
    <row r="1073" ht="15.75">
      <c r="D1073" s="181"/>
    </row>
    <row r="1074" ht="15.75">
      <c r="D1074" s="181"/>
    </row>
    <row r="1075" ht="15.75">
      <c r="D1075" s="181"/>
    </row>
    <row r="1076" ht="15.75">
      <c r="D1076" s="181"/>
    </row>
    <row r="1077" ht="15.75">
      <c r="D1077" s="181"/>
    </row>
    <row r="1078" ht="15.75">
      <c r="D1078" s="181"/>
    </row>
    <row r="1079" ht="15.75">
      <c r="D1079" s="181"/>
    </row>
    <row r="1080" ht="15.75">
      <c r="D1080" s="181"/>
    </row>
  </sheetData>
  <sheetProtection password="CF7A" sheet="1" objects="1" scenarios="1"/>
  <mergeCells count="48">
    <mergeCell ref="B177:C177"/>
    <mergeCell ref="B188:C188"/>
    <mergeCell ref="B187:C187"/>
    <mergeCell ref="A183:C183"/>
    <mergeCell ref="B186:C186"/>
    <mergeCell ref="A110:A112"/>
    <mergeCell ref="A100:A102"/>
    <mergeCell ref="A107:A108"/>
    <mergeCell ref="B60:C60"/>
    <mergeCell ref="B66:B67"/>
    <mergeCell ref="A71:A72"/>
    <mergeCell ref="A84:A85"/>
    <mergeCell ref="B100:B102"/>
    <mergeCell ref="B107:B108"/>
    <mergeCell ref="A66:A67"/>
    <mergeCell ref="B84:B85"/>
    <mergeCell ref="B125:C125"/>
    <mergeCell ref="B71:B72"/>
    <mergeCell ref="B310:C310"/>
    <mergeCell ref="B132:C132"/>
    <mergeCell ref="B110:B112"/>
    <mergeCell ref="A130:C130"/>
    <mergeCell ref="A114:A117"/>
    <mergeCell ref="B114:B117"/>
    <mergeCell ref="B155:C155"/>
    <mergeCell ref="B352:C352"/>
    <mergeCell ref="B309:C309"/>
    <mergeCell ref="B240:C240"/>
    <mergeCell ref="B245:C245"/>
    <mergeCell ref="B350:C350"/>
    <mergeCell ref="B308:C308"/>
    <mergeCell ref="B256:C256"/>
    <mergeCell ref="B263:C263"/>
    <mergeCell ref="C50:L50"/>
    <mergeCell ref="A51:L51"/>
    <mergeCell ref="A55:L55"/>
    <mergeCell ref="A56:L56"/>
    <mergeCell ref="A52:L53"/>
    <mergeCell ref="A91:A94"/>
    <mergeCell ref="B91:B94"/>
    <mergeCell ref="A362:L362"/>
    <mergeCell ref="B272:C272"/>
    <mergeCell ref="B289:C289"/>
    <mergeCell ref="B301:C301"/>
    <mergeCell ref="B307:C307"/>
    <mergeCell ref="B234:C234"/>
    <mergeCell ref="A96:A97"/>
    <mergeCell ref="B96:B97"/>
  </mergeCells>
  <printOptions/>
  <pageMargins left="1.1811023622047245" right="0.3937007874015748" top="0.984251968503937" bottom="0.7874015748031497" header="0.5905511811023623" footer="0.31496062992125984"/>
  <pageSetup firstPageNumber="1" useFirstPageNumber="1" fitToHeight="0" horizontalDpi="600" verticalDpi="600" orientation="portrait" paperSize="9" r:id="rId3"/>
  <headerFooter alignWithMargins="0">
    <oddFooter>&amp;R&amp;P</oddFooter>
  </headerFooter>
  <rowBreaks count="52" manualBreakCount="52">
    <brk id="1" max="11" man="1"/>
    <brk id="2" max="11" man="1"/>
    <brk id="3" max="11" man="1"/>
    <brk id="4" max="11" man="1"/>
    <brk id="5" max="11" man="1"/>
    <brk id="6" max="11" man="1"/>
    <brk id="7" max="11" man="1"/>
    <brk id="8" max="11" man="1"/>
    <brk id="9" max="11" man="1"/>
    <brk id="10" max="11" man="1"/>
    <brk id="11" max="11" man="1"/>
    <brk id="12" max="11" man="1"/>
    <brk id="13" max="11" man="1"/>
    <brk id="14" max="11" man="1"/>
    <brk id="15" max="11" man="1"/>
    <brk id="16" max="11" man="1"/>
    <brk id="17" max="11" man="1"/>
    <brk id="18" max="11" man="1"/>
    <brk id="19" max="11" man="1"/>
    <brk id="20" max="11" man="1"/>
    <brk id="21" max="11" man="1"/>
    <brk id="22" max="11" man="1"/>
    <brk id="23" max="11" man="1"/>
    <brk id="24" max="11" man="1"/>
    <brk id="25" max="11" man="1"/>
    <brk id="26" max="11" man="1"/>
    <brk id="27" max="11" man="1"/>
    <brk id="28" max="11" man="1"/>
    <brk id="29" max="11" man="1"/>
    <brk id="30" max="11" man="1"/>
    <brk id="31" max="11" man="1"/>
    <brk id="32" max="11" man="1"/>
    <brk id="33" max="11" man="1"/>
    <brk id="34" max="11" man="1"/>
    <brk id="35" max="11" man="1"/>
    <brk id="36" max="11" man="1"/>
    <brk id="37" max="11" man="1"/>
    <brk id="38" max="11" man="1"/>
    <brk id="39" max="11" man="1"/>
    <brk id="40" max="11" man="1"/>
    <brk id="41" max="11" man="1"/>
    <brk id="42" max="11" man="1"/>
    <brk id="43" max="11" man="1"/>
    <brk id="44" max="11" man="1"/>
    <brk id="45" max="11" man="1"/>
    <brk id="46" max="11" man="1"/>
    <brk id="47" max="11" man="1"/>
    <brk id="48" max="11" man="1"/>
    <brk id="49" max="255" man="1"/>
    <brk id="122" max="11" man="1"/>
    <brk id="152" max="11" man="1"/>
    <brk id="19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zoomScale="88" zoomScaleNormal="88" workbookViewId="0" topLeftCell="A1">
      <selection activeCell="I11" sqref="I11:I12"/>
    </sheetView>
  </sheetViews>
  <sheetFormatPr defaultColWidth="9.00390625" defaultRowHeight="12.75"/>
  <cols>
    <col min="1" max="1" width="11.25390625" style="33" bestFit="1" customWidth="1"/>
    <col min="2" max="2" width="24.25390625" style="36" customWidth="1"/>
    <col min="3" max="3" width="41.00390625" style="36" customWidth="1"/>
    <col min="4" max="4" width="14.00390625" style="33" customWidth="1"/>
    <col min="5" max="5" width="5.00390625" style="29" hidden="1" customWidth="1"/>
    <col min="6" max="6" width="11.00390625" style="29" hidden="1" customWidth="1"/>
    <col min="7" max="7" width="9.125" style="29" hidden="1" customWidth="1"/>
    <col min="8" max="8" width="0" style="29" hidden="1" customWidth="1"/>
    <col min="9" max="16384" width="9.125" style="29" customWidth="1"/>
  </cols>
  <sheetData>
    <row r="1" spans="3:4" ht="15.75">
      <c r="C1" s="200" t="s">
        <v>188</v>
      </c>
      <c r="D1" s="200"/>
    </row>
    <row r="2" spans="1:4" s="61" customFormat="1" ht="15">
      <c r="A2" s="208" t="s">
        <v>346</v>
      </c>
      <c r="B2" s="208"/>
      <c r="C2" s="208"/>
      <c r="D2" s="208"/>
    </row>
    <row r="3" spans="1:4" s="61" customFormat="1" ht="15">
      <c r="A3" s="58"/>
      <c r="B3" s="105"/>
      <c r="C3" s="209" t="s">
        <v>409</v>
      </c>
      <c r="D3" s="209"/>
    </row>
    <row r="4" spans="1:4" ht="15.75">
      <c r="A4" s="202" t="s">
        <v>98</v>
      </c>
      <c r="B4" s="202"/>
      <c r="C4" s="202"/>
      <c r="D4" s="202"/>
    </row>
    <row r="5" spans="1:4" ht="34.5" customHeight="1">
      <c r="A5" s="27"/>
      <c r="B5" s="187" t="s">
        <v>194</v>
      </c>
      <c r="C5" s="187"/>
      <c r="D5" s="27"/>
    </row>
    <row r="6" spans="1:4" ht="15.75" hidden="1">
      <c r="A6" s="28"/>
      <c r="B6" s="28"/>
      <c r="C6" s="28"/>
      <c r="D6" s="28"/>
    </row>
    <row r="7" spans="1:6" ht="33" customHeight="1">
      <c r="A7" s="1" t="s">
        <v>99</v>
      </c>
      <c r="B7" s="34" t="s">
        <v>63</v>
      </c>
      <c r="C7" s="26" t="s">
        <v>0</v>
      </c>
      <c r="D7" s="35" t="s">
        <v>1</v>
      </c>
      <c r="F7" s="99" t="s">
        <v>371</v>
      </c>
    </row>
    <row r="8" spans="1:5" s="104" customFormat="1" ht="12">
      <c r="A8" s="100" t="s">
        <v>112</v>
      </c>
      <c r="B8" s="101">
        <v>2</v>
      </c>
      <c r="C8" s="102">
        <v>3</v>
      </c>
      <c r="D8" s="103">
        <v>4</v>
      </c>
      <c r="E8" s="22"/>
    </row>
    <row r="9" spans="1:4" ht="19.5" customHeight="1">
      <c r="A9" s="39" t="s">
        <v>65</v>
      </c>
      <c r="B9" s="190" t="s">
        <v>64</v>
      </c>
      <c r="C9" s="210"/>
      <c r="D9" s="42"/>
    </row>
    <row r="10" spans="1:4" ht="15.75" customHeight="1">
      <c r="A10" s="16" t="s">
        <v>66</v>
      </c>
      <c r="B10" s="17" t="s">
        <v>365</v>
      </c>
      <c r="C10" s="17" t="s">
        <v>2</v>
      </c>
      <c r="D10" s="18">
        <f>200+26+40+30</f>
        <v>296</v>
      </c>
    </row>
    <row r="11" spans="1:4" ht="15.75">
      <c r="A11" s="2" t="s">
        <v>67</v>
      </c>
      <c r="B11" s="3" t="s">
        <v>204</v>
      </c>
      <c r="C11" s="3" t="s">
        <v>205</v>
      </c>
      <c r="D11" s="43">
        <v>50</v>
      </c>
    </row>
    <row r="12" spans="1:4" ht="15.75">
      <c r="A12" s="2" t="s">
        <v>68</v>
      </c>
      <c r="B12" s="3" t="s">
        <v>227</v>
      </c>
      <c r="C12" s="3" t="s">
        <v>21</v>
      </c>
      <c r="D12" s="43">
        <v>200</v>
      </c>
    </row>
    <row r="13" spans="1:4" ht="15.75">
      <c r="A13" s="2" t="s">
        <v>69</v>
      </c>
      <c r="B13" s="3" t="s">
        <v>197</v>
      </c>
      <c r="C13" s="3" t="s">
        <v>21</v>
      </c>
      <c r="D13" s="43">
        <v>100</v>
      </c>
    </row>
    <row r="14" spans="1:6" ht="15.75">
      <c r="A14" s="60" t="s">
        <v>70</v>
      </c>
      <c r="B14" s="3" t="s">
        <v>353</v>
      </c>
      <c r="C14" s="3" t="s">
        <v>21</v>
      </c>
      <c r="D14" s="43">
        <f>F14</f>
        <v>60</v>
      </c>
      <c r="F14" s="29">
        <v>60</v>
      </c>
    </row>
    <row r="15" spans="1:4" ht="15.75" customHeight="1">
      <c r="A15" s="211" t="s">
        <v>71</v>
      </c>
      <c r="B15" s="213" t="s">
        <v>206</v>
      </c>
      <c r="C15" s="3" t="s">
        <v>6</v>
      </c>
      <c r="D15" s="43">
        <v>15</v>
      </c>
    </row>
    <row r="16" spans="1:4" ht="15.75">
      <c r="A16" s="212"/>
      <c r="B16" s="214"/>
      <c r="C16" s="62" t="s">
        <v>8</v>
      </c>
      <c r="D16" s="43">
        <v>120</v>
      </c>
    </row>
    <row r="17" spans="1:4" ht="15.75">
      <c r="A17" s="2" t="s">
        <v>72</v>
      </c>
      <c r="B17" s="63" t="s">
        <v>208</v>
      </c>
      <c r="C17" s="3" t="s">
        <v>209</v>
      </c>
      <c r="D17" s="43">
        <v>50</v>
      </c>
    </row>
    <row r="18" spans="1:4" ht="15.75">
      <c r="A18" s="2" t="s">
        <v>73</v>
      </c>
      <c r="B18" s="3" t="s">
        <v>203</v>
      </c>
      <c r="C18" s="3" t="s">
        <v>5</v>
      </c>
      <c r="D18" s="43">
        <v>10</v>
      </c>
    </row>
    <row r="19" spans="1:4" ht="15.75">
      <c r="A19" s="2" t="s">
        <v>74</v>
      </c>
      <c r="B19" s="3" t="s">
        <v>228</v>
      </c>
      <c r="C19" s="3" t="s">
        <v>21</v>
      </c>
      <c r="D19" s="43">
        <v>200</v>
      </c>
    </row>
    <row r="20" spans="1:4" ht="15.75" customHeight="1">
      <c r="A20" s="211" t="s">
        <v>75</v>
      </c>
      <c r="B20" s="213" t="s">
        <v>199</v>
      </c>
      <c r="C20" s="3" t="s">
        <v>200</v>
      </c>
      <c r="D20" s="43">
        <v>40</v>
      </c>
    </row>
    <row r="21" spans="1:4" ht="15.75">
      <c r="A21" s="212"/>
      <c r="B21" s="214"/>
      <c r="C21" s="3" t="s">
        <v>14</v>
      </c>
      <c r="D21" s="43">
        <v>60</v>
      </c>
    </row>
    <row r="22" spans="1:4" ht="15.75">
      <c r="A22" s="2" t="s">
        <v>100</v>
      </c>
      <c r="B22" s="3" t="s">
        <v>364</v>
      </c>
      <c r="C22" s="3" t="s">
        <v>21</v>
      </c>
      <c r="D22" s="43">
        <v>60</v>
      </c>
    </row>
    <row r="23" spans="1:6" ht="15.75">
      <c r="A23" s="2" t="s">
        <v>76</v>
      </c>
      <c r="B23" s="3" t="s">
        <v>354</v>
      </c>
      <c r="C23" s="3" t="s">
        <v>21</v>
      </c>
      <c r="D23" s="43">
        <f>F23</f>
        <v>45</v>
      </c>
      <c r="F23" s="29">
        <v>45</v>
      </c>
    </row>
    <row r="24" spans="1:4" ht="15.75">
      <c r="A24" s="2" t="s">
        <v>77</v>
      </c>
      <c r="B24" s="3" t="s">
        <v>198</v>
      </c>
      <c r="C24" s="3" t="s">
        <v>21</v>
      </c>
      <c r="D24" s="43">
        <v>100</v>
      </c>
    </row>
    <row r="25" spans="1:6" ht="15.75">
      <c r="A25" s="2" t="s">
        <v>78</v>
      </c>
      <c r="B25" s="3" t="s">
        <v>361</v>
      </c>
      <c r="C25" s="3" t="s">
        <v>19</v>
      </c>
      <c r="D25" s="43">
        <f>F25</f>
        <v>100</v>
      </c>
      <c r="F25" s="29">
        <v>100</v>
      </c>
    </row>
    <row r="26" spans="1:4" ht="31.5">
      <c r="A26" s="2"/>
      <c r="B26" s="4" t="s">
        <v>60</v>
      </c>
      <c r="C26" s="3"/>
      <c r="D26" s="5">
        <f>SUM(D10:D25)</f>
        <v>1506</v>
      </c>
    </row>
    <row r="27" spans="1:4" ht="15.75">
      <c r="A27" s="2" t="s">
        <v>79</v>
      </c>
      <c r="B27" s="3" t="s">
        <v>3</v>
      </c>
      <c r="C27" s="3" t="s">
        <v>4</v>
      </c>
      <c r="D27" s="43">
        <v>3000</v>
      </c>
    </row>
    <row r="28" spans="1:4" ht="15.75">
      <c r="A28" s="2" t="s">
        <v>80</v>
      </c>
      <c r="B28" s="3" t="s">
        <v>362</v>
      </c>
      <c r="C28" s="3" t="s">
        <v>5</v>
      </c>
      <c r="D28" s="43">
        <v>120</v>
      </c>
    </row>
    <row r="29" spans="1:4" ht="15.75" customHeight="1">
      <c r="A29" s="2" t="s">
        <v>81</v>
      </c>
      <c r="B29" s="3" t="s">
        <v>363</v>
      </c>
      <c r="C29" s="3" t="s">
        <v>6</v>
      </c>
      <c r="D29" s="43">
        <v>91</v>
      </c>
    </row>
    <row r="30" spans="1:4" ht="15.75">
      <c r="A30" s="2" t="s">
        <v>82</v>
      </c>
      <c r="B30" s="3" t="s">
        <v>7</v>
      </c>
      <c r="C30" s="3" t="s">
        <v>8</v>
      </c>
      <c r="D30" s="43">
        <v>133</v>
      </c>
    </row>
    <row r="31" spans="1:4" ht="15.75">
      <c r="A31" s="2" t="s">
        <v>83</v>
      </c>
      <c r="B31" s="3" t="s">
        <v>201</v>
      </c>
      <c r="C31" s="3" t="s">
        <v>202</v>
      </c>
      <c r="D31" s="43">
        <v>100</v>
      </c>
    </row>
    <row r="32" spans="1:4" ht="15.75">
      <c r="A32" s="211" t="s">
        <v>84</v>
      </c>
      <c r="B32" s="213" t="s">
        <v>27</v>
      </c>
      <c r="C32" s="3" t="s">
        <v>28</v>
      </c>
      <c r="D32" s="43">
        <v>100</v>
      </c>
    </row>
    <row r="33" spans="1:4" ht="15.75">
      <c r="A33" s="212"/>
      <c r="B33" s="214"/>
      <c r="C33" s="3" t="s">
        <v>29</v>
      </c>
      <c r="D33" s="43">
        <v>200</v>
      </c>
    </row>
    <row r="34" spans="1:4" ht="15.75">
      <c r="A34" s="2" t="s">
        <v>219</v>
      </c>
      <c r="B34" s="3" t="s">
        <v>196</v>
      </c>
      <c r="C34" s="3" t="s">
        <v>21</v>
      </c>
      <c r="D34" s="43">
        <v>175</v>
      </c>
    </row>
    <row r="35" spans="1:4" ht="15.75">
      <c r="A35" s="2" t="s">
        <v>220</v>
      </c>
      <c r="B35" s="3" t="s">
        <v>229</v>
      </c>
      <c r="C35" s="3" t="s">
        <v>8</v>
      </c>
      <c r="D35" s="43">
        <v>280</v>
      </c>
    </row>
    <row r="36" spans="1:4" ht="15.75">
      <c r="A36" s="2" t="s">
        <v>221</v>
      </c>
      <c r="B36" s="3" t="s">
        <v>225</v>
      </c>
      <c r="C36" s="3" t="s">
        <v>21</v>
      </c>
      <c r="D36" s="43">
        <v>500</v>
      </c>
    </row>
    <row r="37" spans="1:4" ht="15.75" customHeight="1">
      <c r="A37" s="54" t="s">
        <v>222</v>
      </c>
      <c r="B37" s="55" t="s">
        <v>9</v>
      </c>
      <c r="C37" s="3" t="s">
        <v>23</v>
      </c>
      <c r="D37" s="43">
        <v>200</v>
      </c>
    </row>
    <row r="38" spans="1:4" ht="15.75">
      <c r="A38" s="2" t="s">
        <v>231</v>
      </c>
      <c r="B38" s="3" t="s">
        <v>11</v>
      </c>
      <c r="C38" s="3" t="s">
        <v>8</v>
      </c>
      <c r="D38" s="43">
        <v>270</v>
      </c>
    </row>
    <row r="39" spans="1:4" ht="15.75">
      <c r="A39" s="193" t="s">
        <v>232</v>
      </c>
      <c r="B39" s="194" t="s">
        <v>12</v>
      </c>
      <c r="C39" s="3" t="s">
        <v>13</v>
      </c>
      <c r="D39" s="43">
        <v>80</v>
      </c>
    </row>
    <row r="40" spans="1:4" ht="15.75">
      <c r="A40" s="193"/>
      <c r="B40" s="194"/>
      <c r="C40" s="3" t="s">
        <v>14</v>
      </c>
      <c r="D40" s="43">
        <v>90</v>
      </c>
    </row>
    <row r="41" spans="1:4" ht="15.75">
      <c r="A41" s="193"/>
      <c r="B41" s="194"/>
      <c r="C41" s="3" t="s">
        <v>226</v>
      </c>
      <c r="D41" s="43">
        <v>100</v>
      </c>
    </row>
    <row r="42" spans="1:4" ht="15.75">
      <c r="A42" s="193"/>
      <c r="B42" s="194"/>
      <c r="C42" s="3" t="s">
        <v>210</v>
      </c>
      <c r="D42" s="43">
        <v>40</v>
      </c>
    </row>
    <row r="43" spans="1:4" ht="15.75">
      <c r="A43" s="2" t="s">
        <v>233</v>
      </c>
      <c r="B43" s="3" t="s">
        <v>15</v>
      </c>
      <c r="C43" s="3" t="s">
        <v>16</v>
      </c>
      <c r="D43" s="43">
        <v>100</v>
      </c>
    </row>
    <row r="44" spans="1:4" ht="15.75">
      <c r="A44" s="211" t="s">
        <v>234</v>
      </c>
      <c r="B44" s="213" t="s">
        <v>17</v>
      </c>
      <c r="C44" s="13" t="s">
        <v>10</v>
      </c>
      <c r="D44" s="14">
        <v>296</v>
      </c>
    </row>
    <row r="45" spans="1:4" ht="15.75">
      <c r="A45" s="215"/>
      <c r="B45" s="216"/>
      <c r="C45" s="64" t="s">
        <v>14</v>
      </c>
      <c r="D45" s="65">
        <v>100</v>
      </c>
    </row>
    <row r="46" spans="1:4" ht="15.75">
      <c r="A46" s="2" t="s">
        <v>366</v>
      </c>
      <c r="B46" s="3" t="s">
        <v>18</v>
      </c>
      <c r="C46" s="3" t="s">
        <v>8</v>
      </c>
      <c r="D46" s="43">
        <v>220</v>
      </c>
    </row>
    <row r="47" spans="1:4" ht="31.5">
      <c r="A47" s="2" t="s">
        <v>235</v>
      </c>
      <c r="B47" s="3" t="s">
        <v>381</v>
      </c>
      <c r="C47" s="3" t="s">
        <v>8</v>
      </c>
      <c r="D47" s="43">
        <v>150</v>
      </c>
    </row>
    <row r="48" spans="1:4" ht="15.75">
      <c r="A48" s="211" t="s">
        <v>236</v>
      </c>
      <c r="B48" s="213" t="s">
        <v>308</v>
      </c>
      <c r="C48" s="3" t="s">
        <v>21</v>
      </c>
      <c r="D48" s="43">
        <v>150</v>
      </c>
    </row>
    <row r="49" spans="1:6" ht="15.75">
      <c r="A49" s="215"/>
      <c r="B49" s="216"/>
      <c r="C49" s="3" t="s">
        <v>355</v>
      </c>
      <c r="D49" s="43">
        <f>F49</f>
        <v>50</v>
      </c>
      <c r="F49" s="29">
        <v>50</v>
      </c>
    </row>
    <row r="50" spans="1:6" ht="15.75">
      <c r="A50" s="212"/>
      <c r="B50" s="214"/>
      <c r="C50" s="3" t="s">
        <v>356</v>
      </c>
      <c r="D50" s="43">
        <f>F50</f>
        <v>100</v>
      </c>
      <c r="F50" s="29">
        <v>100</v>
      </c>
    </row>
    <row r="51" spans="1:4" ht="15.75">
      <c r="A51" s="2" t="s">
        <v>239</v>
      </c>
      <c r="B51" s="3" t="s">
        <v>238</v>
      </c>
      <c r="C51" s="3" t="s">
        <v>21</v>
      </c>
      <c r="D51" s="43">
        <v>276.6</v>
      </c>
    </row>
    <row r="52" spans="1:4" ht="15.75">
      <c r="A52" s="2" t="s">
        <v>305</v>
      </c>
      <c r="B52" s="3" t="s">
        <v>293</v>
      </c>
      <c r="C52" s="3" t="s">
        <v>21</v>
      </c>
      <c r="D52" s="43">
        <v>300</v>
      </c>
    </row>
    <row r="53" spans="1:6" ht="32.25" customHeight="1">
      <c r="A53" s="56" t="s">
        <v>237</v>
      </c>
      <c r="B53" s="63" t="s">
        <v>367</v>
      </c>
      <c r="C53" s="63" t="s">
        <v>19</v>
      </c>
      <c r="D53" s="98">
        <f>100+F53</f>
        <v>155</v>
      </c>
      <c r="F53" s="29">
        <f>155-100</f>
        <v>55</v>
      </c>
    </row>
    <row r="54" spans="1:4" ht="31.5">
      <c r="A54" s="2"/>
      <c r="B54" s="4" t="s">
        <v>101</v>
      </c>
      <c r="C54" s="3"/>
      <c r="D54" s="5">
        <f>SUM(D27:D53)</f>
        <v>7376.6</v>
      </c>
    </row>
    <row r="55" spans="1:4" ht="15.75" customHeight="1">
      <c r="A55" s="211" t="s">
        <v>240</v>
      </c>
      <c r="B55" s="213" t="s">
        <v>20</v>
      </c>
      <c r="C55" s="64" t="s">
        <v>14</v>
      </c>
      <c r="D55" s="65">
        <v>150</v>
      </c>
    </row>
    <row r="56" spans="1:4" ht="32.25" customHeight="1">
      <c r="A56" s="212"/>
      <c r="B56" s="214"/>
      <c r="C56" s="25" t="s">
        <v>21</v>
      </c>
      <c r="D56" s="53">
        <v>250</v>
      </c>
    </row>
    <row r="57" spans="1:4" ht="31.5">
      <c r="A57" s="2"/>
      <c r="B57" s="4" t="s">
        <v>102</v>
      </c>
      <c r="C57" s="3"/>
      <c r="D57" s="5">
        <f>SUM(D55:D56)</f>
        <v>400</v>
      </c>
    </row>
    <row r="58" spans="1:4" ht="31.5" customHeight="1">
      <c r="A58" s="211" t="s">
        <v>309</v>
      </c>
      <c r="B58" s="213" t="s">
        <v>62</v>
      </c>
      <c r="C58" s="3" t="s">
        <v>360</v>
      </c>
      <c r="D58" s="43">
        <v>600</v>
      </c>
    </row>
    <row r="59" spans="1:6" ht="15.75" customHeight="1">
      <c r="A59" s="215"/>
      <c r="B59" s="216"/>
      <c r="C59" s="3" t="s">
        <v>357</v>
      </c>
      <c r="D59" s="43">
        <f>F59</f>
        <v>336</v>
      </c>
      <c r="F59" s="29">
        <v>336</v>
      </c>
    </row>
    <row r="60" spans="1:6" ht="15.75">
      <c r="A60" s="212"/>
      <c r="B60" s="214"/>
      <c r="C60" s="3" t="s">
        <v>358</v>
      </c>
      <c r="D60" s="43">
        <f>F60</f>
        <v>264</v>
      </c>
      <c r="F60" s="29">
        <v>264</v>
      </c>
    </row>
    <row r="61" spans="1:4" ht="31.5">
      <c r="A61" s="2"/>
      <c r="B61" s="4" t="s">
        <v>103</v>
      </c>
      <c r="C61" s="3"/>
      <c r="D61" s="5">
        <f>SUM(D58:D60)</f>
        <v>1200</v>
      </c>
    </row>
    <row r="62" spans="1:6" ht="15.75" customHeight="1">
      <c r="A62" s="211" t="s">
        <v>310</v>
      </c>
      <c r="B62" s="213" t="s">
        <v>24</v>
      </c>
      <c r="C62" s="3" t="s">
        <v>386</v>
      </c>
      <c r="D62" s="43">
        <f>F62+200</f>
        <v>54</v>
      </c>
      <c r="F62" s="29">
        <v>-146</v>
      </c>
    </row>
    <row r="63" spans="1:6" ht="15.75" customHeight="1">
      <c r="A63" s="215"/>
      <c r="B63" s="216"/>
      <c r="C63" s="3" t="s">
        <v>385</v>
      </c>
      <c r="D63" s="43">
        <f>F63</f>
        <v>105</v>
      </c>
      <c r="F63" s="29">
        <v>105</v>
      </c>
    </row>
    <row r="64" spans="1:6" ht="15.75" customHeight="1">
      <c r="A64" s="215"/>
      <c r="B64" s="216"/>
      <c r="C64" s="3" t="s">
        <v>383</v>
      </c>
      <c r="D64" s="43">
        <f>F64</f>
        <v>12.8</v>
      </c>
      <c r="F64" s="29">
        <v>12.8</v>
      </c>
    </row>
    <row r="65" spans="1:6" ht="15.75" customHeight="1">
      <c r="A65" s="215"/>
      <c r="B65" s="214"/>
      <c r="C65" s="3" t="s">
        <v>384</v>
      </c>
      <c r="D65" s="43">
        <f>F65</f>
        <v>28.2</v>
      </c>
      <c r="F65" s="29">
        <v>28.2</v>
      </c>
    </row>
    <row r="66" spans="1:6" ht="15.75">
      <c r="A66" s="2" t="s">
        <v>368</v>
      </c>
      <c r="B66" s="3" t="s">
        <v>359</v>
      </c>
      <c r="C66" s="3" t="s">
        <v>13</v>
      </c>
      <c r="D66" s="43">
        <f>F66</f>
        <v>43</v>
      </c>
      <c r="F66" s="29">
        <v>43</v>
      </c>
    </row>
    <row r="67" spans="1:4" ht="31.5">
      <c r="A67" s="2"/>
      <c r="B67" s="4" t="s">
        <v>104</v>
      </c>
      <c r="C67" s="3"/>
      <c r="D67" s="5">
        <f>SUM(D62:D66)</f>
        <v>243</v>
      </c>
    </row>
    <row r="68" spans="1:4" ht="15.75" customHeight="1">
      <c r="A68" s="16" t="s">
        <v>369</v>
      </c>
      <c r="B68" s="17" t="s">
        <v>22</v>
      </c>
      <c r="C68" s="17" t="s">
        <v>23</v>
      </c>
      <c r="D68" s="18">
        <v>120</v>
      </c>
    </row>
    <row r="69" spans="1:4" ht="31.5">
      <c r="A69" s="2"/>
      <c r="B69" s="4" t="s">
        <v>105</v>
      </c>
      <c r="C69" s="3"/>
      <c r="D69" s="5">
        <f>SUM(D68)</f>
        <v>120</v>
      </c>
    </row>
    <row r="70" spans="1:4" ht="31.5">
      <c r="A70" s="2" t="s">
        <v>370</v>
      </c>
      <c r="B70" s="4" t="s">
        <v>388</v>
      </c>
      <c r="C70" s="62" t="s">
        <v>392</v>
      </c>
      <c r="D70" s="19">
        <v>16</v>
      </c>
    </row>
    <row r="71" spans="1:4" ht="31.5">
      <c r="A71" s="16"/>
      <c r="B71" s="106" t="s">
        <v>389</v>
      </c>
      <c r="C71" s="62"/>
      <c r="D71" s="19">
        <v>16</v>
      </c>
    </row>
    <row r="72" spans="1:6" ht="15.75">
      <c r="A72" s="16" t="s">
        <v>390</v>
      </c>
      <c r="B72" s="190" t="s">
        <v>25</v>
      </c>
      <c r="C72" s="210"/>
      <c r="D72" s="19">
        <f>D73+D74+D75+D76</f>
        <v>1135.5</v>
      </c>
      <c r="F72" s="29">
        <f>SUM(F73:F76)</f>
        <v>-1153</v>
      </c>
    </row>
    <row r="73" spans="1:6" ht="15.75" hidden="1">
      <c r="A73" s="16" t="s">
        <v>376</v>
      </c>
      <c r="B73" s="77" t="s">
        <v>373</v>
      </c>
      <c r="C73" s="59"/>
      <c r="D73" s="18">
        <f>262+F73</f>
        <v>216</v>
      </c>
      <c r="F73" s="29">
        <v>-46</v>
      </c>
    </row>
    <row r="74" spans="1:6" ht="15.75" hidden="1">
      <c r="A74" s="16"/>
      <c r="B74" s="77" t="s">
        <v>374</v>
      </c>
      <c r="C74" s="59"/>
      <c r="D74" s="18">
        <f>1133+F74</f>
        <v>759</v>
      </c>
      <c r="F74" s="29">
        <v>-374</v>
      </c>
    </row>
    <row r="75" spans="1:6" ht="15.75" hidden="1">
      <c r="A75" s="16"/>
      <c r="B75" s="77" t="s">
        <v>375</v>
      </c>
      <c r="C75" s="59"/>
      <c r="D75" s="18">
        <f>652+F75</f>
        <v>20</v>
      </c>
      <c r="F75" s="29">
        <v>-632</v>
      </c>
    </row>
    <row r="76" spans="1:6" ht="15.75" hidden="1">
      <c r="A76" s="16"/>
      <c r="B76" s="77" t="s">
        <v>359</v>
      </c>
      <c r="C76" s="59"/>
      <c r="D76" s="18">
        <f>241.5+F76</f>
        <v>140.5</v>
      </c>
      <c r="F76" s="29">
        <v>-101</v>
      </c>
    </row>
    <row r="77" spans="1:6" ht="15.75">
      <c r="A77" s="204" t="s">
        <v>26</v>
      </c>
      <c r="B77" s="204"/>
      <c r="C77" s="204"/>
      <c r="D77" s="5">
        <f>D72+D69+D67+D61+D57+D54+D26+D71</f>
        <v>11997.1</v>
      </c>
      <c r="F77" s="29">
        <f>SUM(F10:F72)</f>
        <v>-100</v>
      </c>
    </row>
    <row r="78" spans="1:4" ht="15.75">
      <c r="A78" s="24"/>
      <c r="B78" s="31"/>
      <c r="C78" s="32"/>
      <c r="D78" s="5"/>
    </row>
    <row r="79" spans="1:4" ht="15.75">
      <c r="A79" s="44" t="s">
        <v>85</v>
      </c>
      <c r="B79" s="217" t="s">
        <v>86</v>
      </c>
      <c r="C79" s="218"/>
      <c r="D79" s="18"/>
    </row>
    <row r="80" spans="1:4" ht="15.75">
      <c r="A80" s="45" t="s">
        <v>87</v>
      </c>
      <c r="B80" s="47" t="s">
        <v>61</v>
      </c>
      <c r="C80" s="3" t="s">
        <v>21</v>
      </c>
      <c r="D80" s="43">
        <v>200</v>
      </c>
    </row>
    <row r="81" spans="1:4" ht="31.5">
      <c r="A81" s="46"/>
      <c r="B81" s="48"/>
      <c r="C81" s="3" t="s">
        <v>30</v>
      </c>
      <c r="D81" s="49">
        <v>24</v>
      </c>
    </row>
    <row r="82" spans="1:4" ht="31.5">
      <c r="A82" s="2"/>
      <c r="B82" s="4" t="s">
        <v>107</v>
      </c>
      <c r="C82" s="3"/>
      <c r="D82" s="6">
        <f>SUM(D80:D81)</f>
        <v>224</v>
      </c>
    </row>
    <row r="83" spans="1:4" ht="15.75">
      <c r="A83" s="45" t="s">
        <v>88</v>
      </c>
      <c r="B83" s="47" t="s">
        <v>31</v>
      </c>
      <c r="C83" s="3" t="s">
        <v>306</v>
      </c>
      <c r="D83" s="49">
        <v>250</v>
      </c>
    </row>
    <row r="84" spans="1:4" ht="15.75">
      <c r="A84" s="8"/>
      <c r="B84" s="9"/>
      <c r="C84" s="3" t="s">
        <v>32</v>
      </c>
      <c r="D84" s="49">
        <v>16</v>
      </c>
    </row>
    <row r="85" spans="1:4" ht="31.5">
      <c r="A85" s="8"/>
      <c r="B85" s="9"/>
      <c r="C85" s="3" t="s">
        <v>33</v>
      </c>
      <c r="D85" s="49">
        <v>50</v>
      </c>
    </row>
    <row r="86" spans="1:4" ht="31.5">
      <c r="A86" s="8"/>
      <c r="B86" s="9"/>
      <c r="C86" s="3" t="s">
        <v>34</v>
      </c>
      <c r="D86" s="49">
        <v>50</v>
      </c>
    </row>
    <row r="87" spans="1:4" ht="15.75">
      <c r="A87" s="46"/>
      <c r="B87" s="48"/>
      <c r="C87" s="3" t="s">
        <v>35</v>
      </c>
      <c r="D87" s="49">
        <v>30</v>
      </c>
    </row>
    <row r="88" spans="1:4" ht="31.5">
      <c r="A88" s="45" t="s">
        <v>89</v>
      </c>
      <c r="B88" s="47" t="s">
        <v>36</v>
      </c>
      <c r="C88" s="47" t="s">
        <v>170</v>
      </c>
      <c r="D88" s="109">
        <v>150</v>
      </c>
    </row>
    <row r="89" spans="1:4" ht="15.75" customHeight="1">
      <c r="A89" s="8"/>
      <c r="B89" s="9"/>
      <c r="C89" s="9" t="s">
        <v>37</v>
      </c>
      <c r="D89" s="10">
        <v>200</v>
      </c>
    </row>
    <row r="90" spans="1:4" ht="15.75" customHeight="1">
      <c r="A90" s="8"/>
      <c r="B90" s="9"/>
      <c r="C90" s="9" t="s">
        <v>38</v>
      </c>
      <c r="D90" s="10">
        <v>200</v>
      </c>
    </row>
    <row r="91" spans="1:4" ht="31.5">
      <c r="A91" s="8"/>
      <c r="B91" s="9"/>
      <c r="C91" s="9" t="s">
        <v>39</v>
      </c>
      <c r="D91" s="10">
        <v>100</v>
      </c>
    </row>
    <row r="92" spans="1:7" ht="32.25" customHeight="1">
      <c r="A92" s="46"/>
      <c r="B92" s="48"/>
      <c r="C92" s="110" t="s">
        <v>400</v>
      </c>
      <c r="D92" s="111">
        <f>G92</f>
        <v>50</v>
      </c>
      <c r="G92" s="29">
        <v>50</v>
      </c>
    </row>
    <row r="93" spans="1:4" ht="31.5">
      <c r="A93" s="15" t="s">
        <v>90</v>
      </c>
      <c r="B93" s="13" t="s">
        <v>40</v>
      </c>
      <c r="C93" s="63" t="s">
        <v>41</v>
      </c>
      <c r="D93" s="108">
        <v>70</v>
      </c>
    </row>
    <row r="94" spans="1:4" ht="31.5">
      <c r="A94" s="8"/>
      <c r="B94" s="9"/>
      <c r="C94" s="3" t="s">
        <v>170</v>
      </c>
      <c r="D94" s="49">
        <v>250</v>
      </c>
    </row>
    <row r="95" spans="1:4" ht="31.5">
      <c r="A95" s="11"/>
      <c r="B95" s="12"/>
      <c r="C95" s="3" t="s">
        <v>42</v>
      </c>
      <c r="D95" s="49">
        <v>90</v>
      </c>
    </row>
    <row r="96" spans="1:4" ht="31.5">
      <c r="A96" s="45" t="s">
        <v>91</v>
      </c>
      <c r="B96" s="47" t="s">
        <v>43</v>
      </c>
      <c r="C96" s="3" t="s">
        <v>44</v>
      </c>
      <c r="D96" s="49">
        <v>45</v>
      </c>
    </row>
    <row r="97" spans="1:4" ht="15.75">
      <c r="A97" s="46"/>
      <c r="B97" s="48"/>
      <c r="C97" s="3" t="s">
        <v>45</v>
      </c>
      <c r="D97" s="49">
        <v>90</v>
      </c>
    </row>
    <row r="98" spans="1:8" ht="31.5">
      <c r="A98" s="45" t="s">
        <v>92</v>
      </c>
      <c r="B98" s="50" t="s">
        <v>48</v>
      </c>
      <c r="C98" s="3" t="s">
        <v>49</v>
      </c>
      <c r="D98" s="49">
        <f>H98</f>
        <v>30</v>
      </c>
      <c r="H98" s="29">
        <v>30</v>
      </c>
    </row>
    <row r="99" spans="1:8" ht="15.75">
      <c r="A99" s="8"/>
      <c r="B99" s="51"/>
      <c r="C99" s="3" t="s">
        <v>50</v>
      </c>
      <c r="D99" s="49">
        <f>H99</f>
        <v>20</v>
      </c>
      <c r="H99" s="29">
        <v>20</v>
      </c>
    </row>
    <row r="100" spans="1:8" ht="15.75">
      <c r="A100" s="46"/>
      <c r="B100" s="52"/>
      <c r="C100" s="3" t="s">
        <v>45</v>
      </c>
      <c r="D100" s="49">
        <f>H100</f>
        <v>40</v>
      </c>
      <c r="H100" s="29">
        <v>40</v>
      </c>
    </row>
    <row r="101" spans="1:4" ht="16.5" customHeight="1">
      <c r="A101" s="16" t="s">
        <v>93</v>
      </c>
      <c r="B101" s="219" t="s">
        <v>307</v>
      </c>
      <c r="C101" s="220"/>
      <c r="D101" s="49">
        <v>260</v>
      </c>
    </row>
    <row r="102" spans="1:4" ht="31.5">
      <c r="A102" s="2"/>
      <c r="B102" s="4" t="s">
        <v>106</v>
      </c>
      <c r="C102" s="3"/>
      <c r="D102" s="6">
        <f>SUM(D83:D101)</f>
        <v>1991</v>
      </c>
    </row>
    <row r="103" spans="1:4" ht="31.5">
      <c r="A103" s="2" t="s">
        <v>94</v>
      </c>
      <c r="B103" s="3" t="s">
        <v>46</v>
      </c>
      <c r="C103" s="3" t="s">
        <v>47</v>
      </c>
      <c r="D103" s="49">
        <v>100</v>
      </c>
    </row>
    <row r="104" spans="1:8" ht="31.5" hidden="1">
      <c r="A104" s="45" t="s">
        <v>94</v>
      </c>
      <c r="B104" s="50" t="s">
        <v>48</v>
      </c>
      <c r="C104" s="3" t="s">
        <v>49</v>
      </c>
      <c r="D104" s="49">
        <f>30+H104</f>
        <v>0</v>
      </c>
      <c r="H104" s="29">
        <v>-30</v>
      </c>
    </row>
    <row r="105" spans="1:8" ht="15.75" hidden="1">
      <c r="A105" s="8"/>
      <c r="B105" s="51"/>
      <c r="C105" s="3" t="s">
        <v>50</v>
      </c>
      <c r="D105" s="49">
        <f>20+H105</f>
        <v>0</v>
      </c>
      <c r="H105" s="29">
        <v>-20</v>
      </c>
    </row>
    <row r="106" spans="1:8" ht="15" customHeight="1" hidden="1">
      <c r="A106" s="46"/>
      <c r="B106" s="52"/>
      <c r="C106" s="3" t="s">
        <v>45</v>
      </c>
      <c r="D106" s="49">
        <f>40+H106</f>
        <v>0</v>
      </c>
      <c r="H106" s="29">
        <v>-40</v>
      </c>
    </row>
    <row r="107" spans="1:4" ht="45" customHeight="1">
      <c r="A107" s="16" t="s">
        <v>95</v>
      </c>
      <c r="B107" s="17" t="s">
        <v>51</v>
      </c>
      <c r="C107" s="17" t="s">
        <v>52</v>
      </c>
      <c r="D107" s="41">
        <v>50</v>
      </c>
    </row>
    <row r="108" spans="1:4" ht="31.5">
      <c r="A108" s="2"/>
      <c r="B108" s="4" t="s">
        <v>108</v>
      </c>
      <c r="C108" s="3"/>
      <c r="D108" s="6">
        <f>SUM(D103:D107)</f>
        <v>150</v>
      </c>
    </row>
    <row r="109" spans="1:4" ht="15.75">
      <c r="A109" s="15" t="s">
        <v>96</v>
      </c>
      <c r="B109" s="13" t="s">
        <v>53</v>
      </c>
      <c r="C109" s="13" t="s">
        <v>54</v>
      </c>
      <c r="D109" s="21">
        <v>40</v>
      </c>
    </row>
    <row r="110" spans="1:4" ht="15.75">
      <c r="A110" s="8"/>
      <c r="B110" s="9"/>
      <c r="C110" s="9" t="s">
        <v>49</v>
      </c>
      <c r="D110" s="10">
        <v>50</v>
      </c>
    </row>
    <row r="111" spans="1:4" ht="15.75">
      <c r="A111" s="11"/>
      <c r="B111" s="12"/>
      <c r="C111" s="12" t="s">
        <v>45</v>
      </c>
      <c r="D111" s="20">
        <v>50</v>
      </c>
    </row>
    <row r="112" spans="1:4" ht="31.5">
      <c r="A112" s="2"/>
      <c r="B112" s="4" t="s">
        <v>109</v>
      </c>
      <c r="C112" s="3"/>
      <c r="D112" s="6">
        <f>SUM(D109:D111)</f>
        <v>140</v>
      </c>
    </row>
    <row r="113" spans="1:4" ht="15" customHeight="1">
      <c r="A113" s="15" t="s">
        <v>97</v>
      </c>
      <c r="B113" s="13" t="s">
        <v>55</v>
      </c>
      <c r="C113" s="13" t="s">
        <v>56</v>
      </c>
      <c r="D113" s="21">
        <v>50</v>
      </c>
    </row>
    <row r="114" spans="1:4" ht="15.75">
      <c r="A114" s="11"/>
      <c r="B114" s="12"/>
      <c r="C114" s="12" t="s">
        <v>21</v>
      </c>
      <c r="D114" s="20">
        <v>140</v>
      </c>
    </row>
    <row r="115" spans="1:4" ht="31.5">
      <c r="A115" s="2"/>
      <c r="B115" s="4" t="s">
        <v>110</v>
      </c>
      <c r="C115" s="3"/>
      <c r="D115" s="6">
        <f>SUM(D113:D114)</f>
        <v>190</v>
      </c>
    </row>
    <row r="116" spans="1:4" ht="31.5">
      <c r="A116" s="15" t="s">
        <v>230</v>
      </c>
      <c r="B116" s="13" t="s">
        <v>57</v>
      </c>
      <c r="C116" s="13" t="s">
        <v>50</v>
      </c>
      <c r="D116" s="21">
        <v>60</v>
      </c>
    </row>
    <row r="117" spans="1:4" ht="15.75" customHeight="1">
      <c r="A117" s="11"/>
      <c r="B117" s="12"/>
      <c r="C117" s="12" t="s">
        <v>58</v>
      </c>
      <c r="D117" s="20">
        <v>55</v>
      </c>
    </row>
    <row r="118" spans="1:4" ht="31.5">
      <c r="A118" s="2"/>
      <c r="B118" s="4" t="s">
        <v>111</v>
      </c>
      <c r="C118" s="3"/>
      <c r="D118" s="6">
        <f>SUM(D116:D117)</f>
        <v>115</v>
      </c>
    </row>
    <row r="119" spans="1:7" ht="47.25">
      <c r="A119" s="107" t="s">
        <v>402</v>
      </c>
      <c r="B119" s="47" t="s">
        <v>36</v>
      </c>
      <c r="C119" s="62" t="s">
        <v>401</v>
      </c>
      <c r="D119" s="49">
        <f>G119</f>
        <v>25</v>
      </c>
      <c r="G119" s="29">
        <v>25</v>
      </c>
    </row>
    <row r="120" spans="1:4" ht="31.5">
      <c r="A120" s="107"/>
      <c r="B120" s="4" t="s">
        <v>403</v>
      </c>
      <c r="C120" s="62"/>
      <c r="D120" s="6">
        <f>D119</f>
        <v>25</v>
      </c>
    </row>
    <row r="121" spans="1:4" ht="15.75">
      <c r="A121" s="7" t="s">
        <v>59</v>
      </c>
      <c r="B121" s="37"/>
      <c r="C121" s="3"/>
      <c r="D121" s="6">
        <f>D118+D115+D112+D108+D102+D82+D120</f>
        <v>2835</v>
      </c>
    </row>
    <row r="122" spans="1:4" ht="15.75">
      <c r="A122" s="2"/>
      <c r="B122" s="4"/>
      <c r="C122" s="3"/>
      <c r="D122" s="23"/>
    </row>
    <row r="123" spans="1:4" ht="15.75" customHeight="1">
      <c r="A123" s="2" t="s">
        <v>166</v>
      </c>
      <c r="B123" s="190" t="s">
        <v>211</v>
      </c>
      <c r="C123" s="210"/>
      <c r="D123" s="23"/>
    </row>
    <row r="124" spans="1:8" ht="15.75" hidden="1">
      <c r="A124" s="2" t="s">
        <v>167</v>
      </c>
      <c r="B124" s="3" t="s">
        <v>212</v>
      </c>
      <c r="C124" s="3" t="s">
        <v>213</v>
      </c>
      <c r="D124" s="40">
        <f>15+41.6+H124</f>
        <v>0</v>
      </c>
      <c r="H124" s="29">
        <v>-56.6</v>
      </c>
    </row>
    <row r="125" spans="1:8" ht="63" hidden="1">
      <c r="A125" s="2"/>
      <c r="B125" s="3"/>
      <c r="C125" s="3" t="s">
        <v>404</v>
      </c>
      <c r="D125" s="40">
        <f>H125</f>
        <v>0</v>
      </c>
      <c r="H125" s="29">
        <f>173-173</f>
        <v>0</v>
      </c>
    </row>
    <row r="126" spans="1:4" ht="15.75" hidden="1">
      <c r="A126" s="2"/>
      <c r="B126" s="4" t="s">
        <v>216</v>
      </c>
      <c r="C126" s="3"/>
      <c r="D126" s="23">
        <f>SUM(D124+D125)</f>
        <v>0</v>
      </c>
    </row>
    <row r="127" spans="1:4" ht="31.5">
      <c r="A127" s="2" t="s">
        <v>167</v>
      </c>
      <c r="B127" s="3" t="s">
        <v>214</v>
      </c>
      <c r="C127" s="3" t="s">
        <v>215</v>
      </c>
      <c r="D127" s="40">
        <v>70</v>
      </c>
    </row>
    <row r="128" spans="1:4" ht="31.5">
      <c r="A128" s="2"/>
      <c r="B128" s="4" t="s">
        <v>217</v>
      </c>
      <c r="C128" s="3"/>
      <c r="D128" s="23">
        <f>SUM(D127)</f>
        <v>70</v>
      </c>
    </row>
    <row r="129" spans="1:4" ht="15.75">
      <c r="A129" s="221" t="s">
        <v>218</v>
      </c>
      <c r="B129" s="222"/>
      <c r="C129" s="223"/>
      <c r="D129" s="23">
        <f>D128+D126</f>
        <v>70</v>
      </c>
    </row>
    <row r="130" spans="1:6" ht="31.5">
      <c r="A130" s="38"/>
      <c r="B130" s="4" t="s">
        <v>169</v>
      </c>
      <c r="C130" s="3"/>
      <c r="D130" s="23">
        <f>D121+D77+D129</f>
        <v>14902.1</v>
      </c>
      <c r="F130" s="23">
        <f>F121+F77+F129</f>
        <v>-100</v>
      </c>
    </row>
    <row r="131" spans="1:4" ht="15.75">
      <c r="A131" s="2"/>
      <c r="B131" s="4"/>
      <c r="C131" s="3"/>
      <c r="D131" s="23"/>
    </row>
    <row r="132" spans="1:8" ht="15.75">
      <c r="A132" s="66" t="s">
        <v>223</v>
      </c>
      <c r="B132" s="190" t="s">
        <v>113</v>
      </c>
      <c r="C132" s="224"/>
      <c r="D132" s="67">
        <f>D133+D185+D190+D251+D252+D281</f>
        <v>57548.75</v>
      </c>
      <c r="E132" s="68"/>
      <c r="F132" s="29">
        <f>SUM(F133:F288)</f>
        <v>0</v>
      </c>
      <c r="H132" s="29">
        <f>SUM(H133:H288)</f>
        <v>-469.1</v>
      </c>
    </row>
    <row r="133" spans="1:5" s="30" customFormat="1" ht="29.25" customHeight="1">
      <c r="A133" s="66" t="s">
        <v>224</v>
      </c>
      <c r="B133" s="190" t="s">
        <v>349</v>
      </c>
      <c r="C133" s="210"/>
      <c r="D133" s="67">
        <f>D134+D179</f>
        <v>6006.5</v>
      </c>
      <c r="E133" s="68"/>
    </row>
    <row r="134" spans="1:5" ht="30" customHeight="1">
      <c r="A134" s="69"/>
      <c r="B134" s="196" t="s">
        <v>350</v>
      </c>
      <c r="C134" s="225"/>
      <c r="D134" s="57">
        <f>D135+D138+D150+D157+D164+D171</f>
        <v>4960.2</v>
      </c>
      <c r="E134" s="70"/>
    </row>
    <row r="135" spans="1:5" ht="15.75" customHeight="1">
      <c r="A135" s="69"/>
      <c r="B135" s="25" t="s">
        <v>313</v>
      </c>
      <c r="C135" s="3" t="s">
        <v>115</v>
      </c>
      <c r="D135" s="57">
        <f>D136+D137</f>
        <v>462.8</v>
      </c>
      <c r="E135" s="68"/>
    </row>
    <row r="136" spans="1:5" ht="15.75">
      <c r="A136" s="69"/>
      <c r="B136" s="25" t="s">
        <v>311</v>
      </c>
      <c r="C136" s="26"/>
      <c r="D136" s="57">
        <v>256.8</v>
      </c>
      <c r="E136" s="68"/>
    </row>
    <row r="137" spans="1:5" ht="15.75">
      <c r="A137" s="69"/>
      <c r="B137" s="25" t="s">
        <v>312</v>
      </c>
      <c r="C137" s="3"/>
      <c r="D137" s="57">
        <v>206</v>
      </c>
      <c r="E137" s="68"/>
    </row>
    <row r="138" spans="1:5" ht="15.75" customHeight="1">
      <c r="A138" s="69"/>
      <c r="B138" s="25" t="s">
        <v>122</v>
      </c>
      <c r="C138" s="3" t="s">
        <v>115</v>
      </c>
      <c r="D138" s="57">
        <f>SUM(D139:D149)</f>
        <v>694.2</v>
      </c>
      <c r="E138" s="68"/>
    </row>
    <row r="139" spans="1:5" ht="15.75">
      <c r="A139" s="69"/>
      <c r="B139" s="25" t="s">
        <v>314</v>
      </c>
      <c r="C139" s="3"/>
      <c r="D139" s="57">
        <v>49</v>
      </c>
      <c r="E139" s="68"/>
    </row>
    <row r="140" spans="1:5" ht="15.75">
      <c r="A140" s="69"/>
      <c r="B140" s="25" t="s">
        <v>316</v>
      </c>
      <c r="C140" s="3"/>
      <c r="D140" s="57">
        <v>58</v>
      </c>
      <c r="E140" s="68"/>
    </row>
    <row r="141" spans="1:5" ht="15.75">
      <c r="A141" s="69"/>
      <c r="B141" s="25" t="s">
        <v>317</v>
      </c>
      <c r="C141" s="3"/>
      <c r="D141" s="57">
        <v>36</v>
      </c>
      <c r="E141" s="68"/>
    </row>
    <row r="142" spans="1:5" ht="15.75">
      <c r="A142" s="69"/>
      <c r="B142" s="25" t="s">
        <v>318</v>
      </c>
      <c r="C142" s="3"/>
      <c r="D142" s="57">
        <v>252.6</v>
      </c>
      <c r="E142" s="68"/>
    </row>
    <row r="143" spans="1:5" ht="15.75">
      <c r="A143" s="69"/>
      <c r="B143" s="25" t="s">
        <v>319</v>
      </c>
      <c r="C143" s="3"/>
      <c r="D143" s="57">
        <v>36.5</v>
      </c>
      <c r="E143" s="68"/>
    </row>
    <row r="144" spans="1:5" ht="15.75">
      <c r="A144" s="69"/>
      <c r="B144" s="25" t="s">
        <v>393</v>
      </c>
      <c r="C144" s="3"/>
      <c r="D144" s="57">
        <v>40</v>
      </c>
      <c r="E144" s="68"/>
    </row>
    <row r="145" spans="1:5" ht="15.75">
      <c r="A145" s="69"/>
      <c r="B145" s="25" t="s">
        <v>320</v>
      </c>
      <c r="C145" s="3"/>
      <c r="D145" s="57">
        <v>64</v>
      </c>
      <c r="E145" s="68"/>
    </row>
    <row r="146" spans="1:5" ht="15.75">
      <c r="A146" s="69"/>
      <c r="B146" s="25" t="s">
        <v>321</v>
      </c>
      <c r="C146" s="3"/>
      <c r="D146" s="57">
        <v>43.2</v>
      </c>
      <c r="E146" s="68"/>
    </row>
    <row r="147" spans="1:5" ht="15.75">
      <c r="A147" s="69"/>
      <c r="B147" s="25" t="s">
        <v>322</v>
      </c>
      <c r="C147" s="3"/>
      <c r="D147" s="57">
        <v>30</v>
      </c>
      <c r="E147" s="68"/>
    </row>
    <row r="148" spans="1:5" ht="15.75">
      <c r="A148" s="69"/>
      <c r="B148" s="25" t="s">
        <v>323</v>
      </c>
      <c r="C148" s="3"/>
      <c r="D148" s="57">
        <v>50.6</v>
      </c>
      <c r="E148" s="68"/>
    </row>
    <row r="149" spans="1:5" ht="15.75">
      <c r="A149" s="69"/>
      <c r="B149" s="25" t="s">
        <v>183</v>
      </c>
      <c r="C149" s="3"/>
      <c r="D149" s="57">
        <v>34.3</v>
      </c>
      <c r="E149" s="68"/>
    </row>
    <row r="150" spans="1:5" ht="15.75" customHeight="1">
      <c r="A150" s="69"/>
      <c r="B150" s="25" t="s">
        <v>136</v>
      </c>
      <c r="C150" s="3" t="s">
        <v>115</v>
      </c>
      <c r="D150" s="57">
        <f>SUM(D151:D156)</f>
        <v>717.1</v>
      </c>
      <c r="E150" s="68"/>
    </row>
    <row r="151" spans="1:5" ht="15.75">
      <c r="A151" s="69"/>
      <c r="B151" s="25" t="s">
        <v>324</v>
      </c>
      <c r="C151" s="3"/>
      <c r="D151" s="57">
        <v>126.6</v>
      </c>
      <c r="E151" s="68"/>
    </row>
    <row r="152" spans="1:5" ht="15.75">
      <c r="A152" s="69"/>
      <c r="B152" s="25" t="s">
        <v>325</v>
      </c>
      <c r="C152" s="3"/>
      <c r="D152" s="57">
        <v>36.6</v>
      </c>
      <c r="E152" s="68"/>
    </row>
    <row r="153" spans="1:5" ht="15.75">
      <c r="A153" s="69"/>
      <c r="B153" s="25" t="s">
        <v>326</v>
      </c>
      <c r="C153" s="3"/>
      <c r="D153" s="57">
        <v>100</v>
      </c>
      <c r="E153" s="68"/>
    </row>
    <row r="154" spans="1:5" ht="15.75">
      <c r="A154" s="69"/>
      <c r="B154" s="25" t="s">
        <v>327</v>
      </c>
      <c r="C154" s="3"/>
      <c r="D154" s="57">
        <v>136.8</v>
      </c>
      <c r="E154" s="68"/>
    </row>
    <row r="155" spans="1:5" ht="15.75">
      <c r="A155" s="69"/>
      <c r="B155" s="25" t="s">
        <v>328</v>
      </c>
      <c r="C155" s="3"/>
      <c r="D155" s="57">
        <v>210</v>
      </c>
      <c r="E155" s="68"/>
    </row>
    <row r="156" spans="1:5" ht="15.75">
      <c r="A156" s="69"/>
      <c r="B156" s="25" t="s">
        <v>329</v>
      </c>
      <c r="C156" s="3"/>
      <c r="D156" s="57">
        <v>107.1</v>
      </c>
      <c r="E156" s="68"/>
    </row>
    <row r="157" spans="1:5" ht="15.75" customHeight="1">
      <c r="A157" s="69"/>
      <c r="B157" s="25" t="s">
        <v>139</v>
      </c>
      <c r="C157" s="3" t="s">
        <v>115</v>
      </c>
      <c r="D157" s="57">
        <f>SUM(D158:D163)</f>
        <v>1143</v>
      </c>
      <c r="E157" s="68"/>
    </row>
    <row r="158" spans="1:5" ht="15.75">
      <c r="A158" s="69"/>
      <c r="B158" s="25" t="s">
        <v>330</v>
      </c>
      <c r="C158" s="3"/>
      <c r="D158" s="57">
        <v>280</v>
      </c>
      <c r="E158" s="68"/>
    </row>
    <row r="159" spans="1:5" ht="15.75">
      <c r="A159" s="69"/>
      <c r="B159" s="25" t="s">
        <v>331</v>
      </c>
      <c r="C159" s="3"/>
      <c r="D159" s="57">
        <v>202</v>
      </c>
      <c r="E159" s="68"/>
    </row>
    <row r="160" spans="1:5" ht="15.75">
      <c r="A160" s="69"/>
      <c r="B160" s="25" t="s">
        <v>332</v>
      </c>
      <c r="C160" s="3"/>
      <c r="D160" s="57">
        <v>178</v>
      </c>
      <c r="E160" s="68"/>
    </row>
    <row r="161" spans="1:5" ht="15.75">
      <c r="A161" s="69"/>
      <c r="B161" s="25" t="s">
        <v>333</v>
      </c>
      <c r="C161" s="3"/>
      <c r="D161" s="57">
        <v>125</v>
      </c>
      <c r="E161" s="68"/>
    </row>
    <row r="162" spans="1:5" ht="15.75">
      <c r="A162" s="69"/>
      <c r="B162" s="25" t="s">
        <v>334</v>
      </c>
      <c r="C162" s="3"/>
      <c r="D162" s="57">
        <v>228</v>
      </c>
      <c r="E162" s="68"/>
    </row>
    <row r="163" spans="1:5" ht="15.75">
      <c r="A163" s="69"/>
      <c r="B163" s="25" t="s">
        <v>335</v>
      </c>
      <c r="C163" s="3"/>
      <c r="D163" s="57">
        <v>130</v>
      </c>
      <c r="E163" s="68"/>
    </row>
    <row r="164" spans="1:5" ht="15.75" customHeight="1">
      <c r="A164" s="69"/>
      <c r="B164" s="25" t="s">
        <v>145</v>
      </c>
      <c r="C164" s="3" t="s">
        <v>115</v>
      </c>
      <c r="D164" s="57">
        <f>SUM(D165:D170)</f>
        <v>887.8</v>
      </c>
      <c r="E164" s="71"/>
    </row>
    <row r="165" spans="1:5" ht="15.75">
      <c r="A165" s="69"/>
      <c r="B165" s="25" t="s">
        <v>336</v>
      </c>
      <c r="C165" s="3"/>
      <c r="D165" s="57">
        <v>185.6</v>
      </c>
      <c r="E165" s="71"/>
    </row>
    <row r="166" spans="1:5" ht="15.75">
      <c r="A166" s="69"/>
      <c r="B166" s="25" t="s">
        <v>315</v>
      </c>
      <c r="C166" s="3"/>
      <c r="D166" s="57">
        <v>186</v>
      </c>
      <c r="E166" s="71"/>
    </row>
    <row r="167" spans="1:5" ht="15.75">
      <c r="A167" s="69"/>
      <c r="B167" s="25" t="s">
        <v>337</v>
      </c>
      <c r="C167" s="3"/>
      <c r="D167" s="57">
        <v>107.2</v>
      </c>
      <c r="E167" s="71"/>
    </row>
    <row r="168" spans="1:5" ht="15.75">
      <c r="A168" s="69"/>
      <c r="B168" s="25" t="s">
        <v>338</v>
      </c>
      <c r="C168" s="3"/>
      <c r="D168" s="57">
        <v>122</v>
      </c>
      <c r="E168" s="71"/>
    </row>
    <row r="169" spans="1:5" ht="15.75">
      <c r="A169" s="69"/>
      <c r="B169" s="25" t="s">
        <v>339</v>
      </c>
      <c r="C169" s="3"/>
      <c r="D169" s="57">
        <v>103</v>
      </c>
      <c r="E169" s="71"/>
    </row>
    <row r="170" spans="1:5" ht="15.75">
      <c r="A170" s="69"/>
      <c r="B170" s="25" t="s">
        <v>340</v>
      </c>
      <c r="C170" s="3"/>
      <c r="D170" s="57">
        <v>184</v>
      </c>
      <c r="E170" s="71"/>
    </row>
    <row r="171" spans="1:5" ht="15.75" customHeight="1">
      <c r="A171" s="69"/>
      <c r="B171" s="25" t="s">
        <v>153</v>
      </c>
      <c r="C171" s="3" t="s">
        <v>115</v>
      </c>
      <c r="D171" s="57">
        <f>SUM(D172:D178)</f>
        <v>1055.3</v>
      </c>
      <c r="E171" s="70"/>
    </row>
    <row r="172" spans="1:6" ht="15.75">
      <c r="A172" s="69"/>
      <c r="B172" s="25" t="s">
        <v>341</v>
      </c>
      <c r="C172" s="3"/>
      <c r="D172" s="57">
        <f>170+F172</f>
        <v>198</v>
      </c>
      <c r="E172" s="70"/>
      <c r="F172" s="29">
        <v>28</v>
      </c>
    </row>
    <row r="173" spans="1:6" ht="15.75">
      <c r="A173" s="69"/>
      <c r="B173" s="25" t="s">
        <v>155</v>
      </c>
      <c r="C173" s="3"/>
      <c r="D173" s="57">
        <f>70+F173</f>
        <v>198</v>
      </c>
      <c r="E173" s="70"/>
      <c r="F173" s="29">
        <v>128</v>
      </c>
    </row>
    <row r="174" spans="1:6" ht="15.75" hidden="1">
      <c r="A174" s="69"/>
      <c r="B174" s="25" t="s">
        <v>342</v>
      </c>
      <c r="C174" s="3"/>
      <c r="D174" s="57">
        <f>100+F174</f>
        <v>0</v>
      </c>
      <c r="E174" s="70"/>
      <c r="F174" s="29">
        <v>-100</v>
      </c>
    </row>
    <row r="175" spans="1:5" ht="15.75">
      <c r="A175" s="69"/>
      <c r="B175" s="25" t="s">
        <v>343</v>
      </c>
      <c r="C175" s="3"/>
      <c r="D175" s="57">
        <f>295</f>
        <v>295</v>
      </c>
      <c r="E175" s="70"/>
    </row>
    <row r="176" spans="1:5" ht="15.75">
      <c r="A176" s="69"/>
      <c r="B176" s="25" t="s">
        <v>344</v>
      </c>
      <c r="C176" s="3"/>
      <c r="D176" s="57">
        <v>250</v>
      </c>
      <c r="E176" s="70"/>
    </row>
    <row r="177" spans="1:6" ht="15.75" hidden="1">
      <c r="A177" s="69"/>
      <c r="B177" s="25" t="s">
        <v>345</v>
      </c>
      <c r="C177" s="3"/>
      <c r="D177" s="57">
        <f>170.3+F177</f>
        <v>0</v>
      </c>
      <c r="E177" s="70"/>
      <c r="F177" s="29">
        <v>-170.3</v>
      </c>
    </row>
    <row r="178" spans="1:6" ht="15.75">
      <c r="A178" s="69"/>
      <c r="B178" s="25" t="s">
        <v>387</v>
      </c>
      <c r="C178" s="62"/>
      <c r="D178" s="57">
        <f>F178</f>
        <v>114.3</v>
      </c>
      <c r="E178" s="70"/>
      <c r="F178" s="29">
        <v>114.3</v>
      </c>
    </row>
    <row r="179" spans="1:5" ht="32.25" customHeight="1">
      <c r="A179" s="69"/>
      <c r="B179" s="198" t="s">
        <v>119</v>
      </c>
      <c r="C179" s="226"/>
      <c r="D179" s="57">
        <f>SUM(D180:D184)</f>
        <v>1046.3000000000002</v>
      </c>
      <c r="E179" s="70"/>
    </row>
    <row r="180" spans="1:5" ht="15.75">
      <c r="A180" s="66"/>
      <c r="B180" s="25" t="s">
        <v>171</v>
      </c>
      <c r="C180" s="72"/>
      <c r="D180" s="73">
        <v>50</v>
      </c>
      <c r="E180" s="68"/>
    </row>
    <row r="181" spans="1:5" ht="15.75">
      <c r="A181" s="66"/>
      <c r="B181" s="25" t="s">
        <v>116</v>
      </c>
      <c r="C181" s="72"/>
      <c r="D181" s="73">
        <v>92.8</v>
      </c>
      <c r="E181" s="68"/>
    </row>
    <row r="182" spans="1:8" ht="15.75">
      <c r="A182" s="66"/>
      <c r="B182" s="25" t="s">
        <v>405</v>
      </c>
      <c r="C182" s="72"/>
      <c r="D182" s="73">
        <f>H182</f>
        <v>139.3</v>
      </c>
      <c r="E182" s="68"/>
      <c r="H182" s="29">
        <v>139.3</v>
      </c>
    </row>
    <row r="183" spans="1:5" ht="15.75">
      <c r="A183" s="66"/>
      <c r="B183" s="25" t="s">
        <v>117</v>
      </c>
      <c r="C183" s="72"/>
      <c r="D183" s="73">
        <v>513.2</v>
      </c>
      <c r="E183" s="68"/>
    </row>
    <row r="184" spans="1:5" ht="15.75">
      <c r="A184" s="66"/>
      <c r="B184" s="25" t="s">
        <v>118</v>
      </c>
      <c r="C184" s="72"/>
      <c r="D184" s="73">
        <v>251</v>
      </c>
      <c r="E184" s="68"/>
    </row>
    <row r="185" spans="1:5" ht="29.25" customHeight="1">
      <c r="A185" s="66" t="s">
        <v>294</v>
      </c>
      <c r="B185" s="190" t="s">
        <v>120</v>
      </c>
      <c r="C185" s="210"/>
      <c r="D185" s="67">
        <f>SUM(D186:D189)</f>
        <v>3011.6</v>
      </c>
      <c r="E185" s="68"/>
    </row>
    <row r="186" spans="1:5" ht="15.75">
      <c r="A186" s="69"/>
      <c r="B186" s="25" t="s">
        <v>114</v>
      </c>
      <c r="C186" s="62"/>
      <c r="D186" s="57">
        <v>549</v>
      </c>
      <c r="E186" s="68"/>
    </row>
    <row r="187" spans="1:5" ht="15.75">
      <c r="A187" s="69"/>
      <c r="B187" s="25" t="s">
        <v>171</v>
      </c>
      <c r="C187" s="62"/>
      <c r="D187" s="57">
        <v>813.6</v>
      </c>
      <c r="E187" s="68"/>
    </row>
    <row r="188" spans="1:5" ht="15.75">
      <c r="A188" s="69"/>
      <c r="B188" s="25" t="s">
        <v>116</v>
      </c>
      <c r="C188" s="62"/>
      <c r="D188" s="57">
        <v>1099</v>
      </c>
      <c r="E188" s="68"/>
    </row>
    <row r="189" spans="1:5" ht="15.75">
      <c r="A189" s="69"/>
      <c r="B189" s="25" t="s">
        <v>118</v>
      </c>
      <c r="C189" s="62"/>
      <c r="D189" s="57">
        <v>550</v>
      </c>
      <c r="E189" s="68"/>
    </row>
    <row r="190" spans="1:7" ht="15.75" customHeight="1">
      <c r="A190" s="66" t="s">
        <v>295</v>
      </c>
      <c r="B190" s="190" t="s">
        <v>121</v>
      </c>
      <c r="C190" s="210"/>
      <c r="D190" s="67">
        <f>D191+D201+D208+D217+D234+D245</f>
        <v>20039.25</v>
      </c>
      <c r="E190" s="68"/>
      <c r="G190" s="29">
        <f>SUM(G191:G250)</f>
        <v>-5993.2</v>
      </c>
    </row>
    <row r="191" spans="1:5" ht="15.75">
      <c r="A191" s="69"/>
      <c r="B191" s="26" t="s">
        <v>122</v>
      </c>
      <c r="C191" s="3"/>
      <c r="D191" s="57">
        <f>SUM(D192:D200)</f>
        <v>4029</v>
      </c>
      <c r="E191" s="68"/>
    </row>
    <row r="192" spans="1:7" ht="15.75" hidden="1">
      <c r="A192" s="69"/>
      <c r="B192" s="25" t="s">
        <v>123</v>
      </c>
      <c r="C192" s="3" t="s">
        <v>124</v>
      </c>
      <c r="D192" s="57">
        <f>740+G192</f>
        <v>0</v>
      </c>
      <c r="E192" s="68"/>
      <c r="G192" s="29">
        <v>-740</v>
      </c>
    </row>
    <row r="193" spans="1:5" ht="15.75">
      <c r="A193" s="69"/>
      <c r="B193" s="25" t="s">
        <v>125</v>
      </c>
      <c r="C193" s="3" t="s">
        <v>126</v>
      </c>
      <c r="D193" s="57">
        <v>380</v>
      </c>
      <c r="E193" s="68"/>
    </row>
    <row r="194" spans="1:7" ht="15.75" hidden="1">
      <c r="A194" s="69"/>
      <c r="B194" s="25" t="s">
        <v>127</v>
      </c>
      <c r="C194" s="3" t="s">
        <v>126</v>
      </c>
      <c r="D194" s="57">
        <f>350+G194</f>
        <v>0</v>
      </c>
      <c r="E194" s="68"/>
      <c r="G194" s="29">
        <v>-350</v>
      </c>
    </row>
    <row r="195" spans="1:5" ht="15.75">
      <c r="A195" s="69"/>
      <c r="B195" s="25" t="s">
        <v>128</v>
      </c>
      <c r="C195" s="3" t="s">
        <v>129</v>
      </c>
      <c r="D195" s="57">
        <v>2509</v>
      </c>
      <c r="E195" s="68"/>
    </row>
    <row r="196" spans="1:5" ht="15.75" customHeight="1" hidden="1">
      <c r="A196" s="69"/>
      <c r="B196" s="25" t="s">
        <v>130</v>
      </c>
      <c r="C196" s="3" t="s">
        <v>131</v>
      </c>
      <c r="D196" s="57">
        <v>0</v>
      </c>
      <c r="E196" s="68"/>
    </row>
    <row r="197" spans="1:5" ht="15.75">
      <c r="A197" s="69"/>
      <c r="B197" s="25" t="s">
        <v>132</v>
      </c>
      <c r="C197" s="3" t="s">
        <v>133</v>
      </c>
      <c r="D197" s="57">
        <v>600</v>
      </c>
      <c r="E197" s="68"/>
    </row>
    <row r="198" spans="1:7" ht="15.75" hidden="1">
      <c r="A198" s="69"/>
      <c r="B198" s="25" t="s">
        <v>134</v>
      </c>
      <c r="C198" s="3" t="s">
        <v>124</v>
      </c>
      <c r="D198" s="57">
        <f>738+G198</f>
        <v>0</v>
      </c>
      <c r="E198" s="68"/>
      <c r="G198" s="29">
        <v>-738</v>
      </c>
    </row>
    <row r="199" spans="1:5" ht="15.75">
      <c r="A199" s="69"/>
      <c r="B199" s="25" t="s">
        <v>241</v>
      </c>
      <c r="C199" s="3" t="s">
        <v>242</v>
      </c>
      <c r="D199" s="57">
        <v>340</v>
      </c>
      <c r="E199" s="68"/>
    </row>
    <row r="200" spans="1:5" ht="31.5">
      <c r="A200" s="69"/>
      <c r="B200" s="25" t="s">
        <v>135</v>
      </c>
      <c r="C200" s="3"/>
      <c r="D200" s="57">
        <v>200</v>
      </c>
      <c r="E200" s="68"/>
    </row>
    <row r="201" spans="1:5" ht="15.75">
      <c r="A201" s="69"/>
      <c r="B201" s="26" t="s">
        <v>136</v>
      </c>
      <c r="C201" s="3"/>
      <c r="D201" s="57">
        <f>SUM(D202:D207)</f>
        <v>942.7</v>
      </c>
      <c r="E201" s="68"/>
    </row>
    <row r="202" spans="1:5" ht="15.75" customHeight="1">
      <c r="A202" s="69"/>
      <c r="B202" s="25" t="s">
        <v>137</v>
      </c>
      <c r="C202" s="3" t="s">
        <v>138</v>
      </c>
      <c r="D202" s="57">
        <v>399</v>
      </c>
      <c r="E202" s="68"/>
    </row>
    <row r="203" spans="1:7" ht="31.5" hidden="1">
      <c r="A203" s="69"/>
      <c r="B203" s="25" t="s">
        <v>172</v>
      </c>
      <c r="C203" s="3" t="s">
        <v>243</v>
      </c>
      <c r="D203" s="57">
        <f>300+G203</f>
        <v>0</v>
      </c>
      <c r="E203" s="68"/>
      <c r="G203" s="29">
        <v>-300</v>
      </c>
    </row>
    <row r="204" spans="1:5" ht="15.75" customHeight="1" hidden="1">
      <c r="A204" s="69"/>
      <c r="B204" s="25" t="s">
        <v>130</v>
      </c>
      <c r="C204" s="3" t="s">
        <v>131</v>
      </c>
      <c r="D204" s="57">
        <v>0</v>
      </c>
      <c r="E204" s="68"/>
    </row>
    <row r="205" spans="1:5" ht="31.5">
      <c r="A205" s="69"/>
      <c r="B205" s="25" t="s">
        <v>244</v>
      </c>
      <c r="C205" s="3" t="s">
        <v>245</v>
      </c>
      <c r="D205" s="57">
        <v>250</v>
      </c>
      <c r="E205" s="68"/>
    </row>
    <row r="206" spans="1:5" ht="15.75">
      <c r="A206" s="69"/>
      <c r="B206" s="25" t="s">
        <v>347</v>
      </c>
      <c r="C206" s="3" t="s">
        <v>249</v>
      </c>
      <c r="D206" s="57">
        <v>80</v>
      </c>
      <c r="E206" s="68"/>
    </row>
    <row r="207" spans="1:5" ht="31.5">
      <c r="A207" s="69"/>
      <c r="B207" s="25" t="s">
        <v>135</v>
      </c>
      <c r="C207" s="3"/>
      <c r="D207" s="57">
        <v>213.7</v>
      </c>
      <c r="E207" s="68"/>
    </row>
    <row r="208" spans="1:5" ht="15.75">
      <c r="A208" s="69"/>
      <c r="B208" s="26" t="s">
        <v>139</v>
      </c>
      <c r="C208" s="3"/>
      <c r="D208" s="57">
        <f>SUM(D209:D216)</f>
        <v>6475.75</v>
      </c>
      <c r="E208" s="68"/>
    </row>
    <row r="209" spans="1:5" ht="15.75">
      <c r="A209" s="69"/>
      <c r="B209" s="25" t="s">
        <v>140</v>
      </c>
      <c r="C209" s="3" t="s">
        <v>129</v>
      </c>
      <c r="D209" s="57">
        <v>4000</v>
      </c>
      <c r="E209" s="68"/>
    </row>
    <row r="210" spans="1:7" ht="15.75">
      <c r="A210" s="69"/>
      <c r="B210" s="25" t="s">
        <v>141</v>
      </c>
      <c r="C210" s="3" t="s">
        <v>142</v>
      </c>
      <c r="D210" s="57">
        <f>2000+G210</f>
        <v>190</v>
      </c>
      <c r="E210" s="68"/>
      <c r="G210" s="29">
        <f>-1430-380</f>
        <v>-1810</v>
      </c>
    </row>
    <row r="211" spans="1:5" ht="15.75">
      <c r="A211" s="69"/>
      <c r="B211" s="25" t="s">
        <v>143</v>
      </c>
      <c r="C211" s="3" t="s">
        <v>144</v>
      </c>
      <c r="D211" s="57">
        <v>112</v>
      </c>
      <c r="E211" s="68"/>
    </row>
    <row r="212" spans="1:5" ht="15.75">
      <c r="A212" s="69"/>
      <c r="B212" s="25" t="s">
        <v>246</v>
      </c>
      <c r="C212" s="3" t="s">
        <v>144</v>
      </c>
      <c r="D212" s="57">
        <v>200</v>
      </c>
      <c r="E212" s="68"/>
    </row>
    <row r="213" spans="1:5" ht="15.75" customHeight="1" hidden="1">
      <c r="A213" s="69"/>
      <c r="B213" s="25" t="s">
        <v>130</v>
      </c>
      <c r="C213" s="3" t="s">
        <v>131</v>
      </c>
      <c r="D213" s="57">
        <v>0</v>
      </c>
      <c r="E213" s="68"/>
    </row>
    <row r="214" spans="1:7" ht="15.75" customHeight="1">
      <c r="A214" s="69"/>
      <c r="B214" s="25" t="s">
        <v>397</v>
      </c>
      <c r="C214" s="3" t="s">
        <v>399</v>
      </c>
      <c r="D214" s="57">
        <f>G214</f>
        <v>380</v>
      </c>
      <c r="E214" s="68"/>
      <c r="G214" s="29">
        <v>380</v>
      </c>
    </row>
    <row r="215" spans="1:5" ht="15.75">
      <c r="A215" s="69"/>
      <c r="B215" s="25" t="s">
        <v>247</v>
      </c>
      <c r="C215" s="3" t="s">
        <v>248</v>
      </c>
      <c r="D215" s="57">
        <v>32.6</v>
      </c>
      <c r="E215" s="68"/>
    </row>
    <row r="216" spans="1:8" ht="31.5">
      <c r="A216" s="69"/>
      <c r="B216" s="25" t="s">
        <v>135</v>
      </c>
      <c r="C216" s="3"/>
      <c r="D216" s="57">
        <f>1431.35+H216</f>
        <v>1561.1499999999999</v>
      </c>
      <c r="E216" s="68"/>
      <c r="H216" s="29">
        <v>129.8</v>
      </c>
    </row>
    <row r="217" spans="1:5" ht="15.75">
      <c r="A217" s="69"/>
      <c r="B217" s="26" t="s">
        <v>145</v>
      </c>
      <c r="C217" s="3"/>
      <c r="D217" s="57">
        <f>SUM(D218:D233)</f>
        <v>4847.4</v>
      </c>
      <c r="E217" s="68"/>
    </row>
    <row r="218" spans="1:5" ht="15.75">
      <c r="A218" s="69"/>
      <c r="B218" s="25" t="s">
        <v>146</v>
      </c>
      <c r="C218" s="3" t="s">
        <v>129</v>
      </c>
      <c r="D218" s="57">
        <v>1100</v>
      </c>
      <c r="E218" s="68"/>
    </row>
    <row r="219" spans="1:7" ht="15.75" hidden="1">
      <c r="A219" s="69"/>
      <c r="B219" s="25" t="s">
        <v>147</v>
      </c>
      <c r="C219" s="3" t="s">
        <v>129</v>
      </c>
      <c r="D219" s="57">
        <f>935.2+G219</f>
        <v>0</v>
      </c>
      <c r="E219" s="68"/>
      <c r="G219" s="29">
        <v>-935.2</v>
      </c>
    </row>
    <row r="220" spans="1:7" ht="31.5">
      <c r="A220" s="69"/>
      <c r="B220" s="25" t="s">
        <v>398</v>
      </c>
      <c r="C220" s="74" t="s">
        <v>257</v>
      </c>
      <c r="D220" s="57">
        <f>G220</f>
        <v>150</v>
      </c>
      <c r="E220" s="68"/>
      <c r="G220" s="29">
        <v>150</v>
      </c>
    </row>
    <row r="221" spans="1:5" ht="31.5">
      <c r="A221" s="69"/>
      <c r="B221" s="25" t="s">
        <v>148</v>
      </c>
      <c r="C221" s="3" t="s">
        <v>149</v>
      </c>
      <c r="D221" s="57">
        <v>500</v>
      </c>
      <c r="E221" s="68"/>
    </row>
    <row r="222" spans="1:5" ht="15.75" customHeight="1" hidden="1">
      <c r="A222" s="69"/>
      <c r="B222" s="25" t="s">
        <v>130</v>
      </c>
      <c r="C222" s="3" t="s">
        <v>131</v>
      </c>
      <c r="D222" s="57">
        <v>0</v>
      </c>
      <c r="E222" s="68"/>
    </row>
    <row r="223" spans="1:5" ht="15.75" hidden="1">
      <c r="A223" s="69"/>
      <c r="B223" s="25" t="s">
        <v>150</v>
      </c>
      <c r="C223" s="3" t="s">
        <v>151</v>
      </c>
      <c r="D223" s="57">
        <v>0</v>
      </c>
      <c r="E223" s="68"/>
    </row>
    <row r="224" spans="1:7" ht="15.75">
      <c r="A224" s="69"/>
      <c r="B224" s="25" t="s">
        <v>391</v>
      </c>
      <c r="C224" s="3" t="s">
        <v>129</v>
      </c>
      <c r="D224" s="57">
        <f>2100+G224</f>
        <v>1100</v>
      </c>
      <c r="E224" s="68"/>
      <c r="G224" s="29">
        <v>-1000</v>
      </c>
    </row>
    <row r="225" spans="1:5" ht="15.75" hidden="1">
      <c r="A225" s="69"/>
      <c r="B225" s="25" t="s">
        <v>152</v>
      </c>
      <c r="C225" s="3" t="s">
        <v>168</v>
      </c>
      <c r="D225" s="57">
        <v>0</v>
      </c>
      <c r="E225" s="68"/>
    </row>
    <row r="226" spans="1:5" ht="15.75">
      <c r="A226" s="69"/>
      <c r="B226" s="25" t="s">
        <v>252</v>
      </c>
      <c r="C226" s="3" t="s">
        <v>242</v>
      </c>
      <c r="D226" s="57">
        <v>60</v>
      </c>
      <c r="E226" s="68"/>
    </row>
    <row r="227" spans="1:5" ht="15.75">
      <c r="A227" s="69"/>
      <c r="B227" s="25" t="s">
        <v>253</v>
      </c>
      <c r="C227" s="3" t="s">
        <v>242</v>
      </c>
      <c r="D227" s="57">
        <v>60</v>
      </c>
      <c r="E227" s="68"/>
    </row>
    <row r="228" spans="1:5" ht="15.75">
      <c r="A228" s="69"/>
      <c r="B228" s="25" t="s">
        <v>254</v>
      </c>
      <c r="C228" s="3" t="s">
        <v>242</v>
      </c>
      <c r="D228" s="57">
        <v>60</v>
      </c>
      <c r="E228" s="68"/>
    </row>
    <row r="229" spans="1:5" ht="15.75">
      <c r="A229" s="69"/>
      <c r="B229" s="25" t="s">
        <v>250</v>
      </c>
      <c r="C229" s="3" t="s">
        <v>251</v>
      </c>
      <c r="D229" s="57">
        <v>131.6</v>
      </c>
      <c r="E229" s="68"/>
    </row>
    <row r="230" spans="1:5" ht="31.5">
      <c r="A230" s="69"/>
      <c r="B230" s="74" t="s">
        <v>256</v>
      </c>
      <c r="C230" s="74" t="s">
        <v>257</v>
      </c>
      <c r="D230" s="73">
        <v>100</v>
      </c>
      <c r="E230" s="75"/>
    </row>
    <row r="231" spans="1:7" ht="31.5" hidden="1">
      <c r="A231" s="69"/>
      <c r="B231" s="74" t="s">
        <v>258</v>
      </c>
      <c r="C231" s="74" t="s">
        <v>257</v>
      </c>
      <c r="D231" s="73">
        <f>150+G231</f>
        <v>0</v>
      </c>
      <c r="E231" s="75"/>
      <c r="G231" s="29">
        <v>-150</v>
      </c>
    </row>
    <row r="232" spans="1:7" ht="15.75">
      <c r="A232" s="69"/>
      <c r="B232" s="74" t="s">
        <v>259</v>
      </c>
      <c r="C232" s="74" t="s">
        <v>242</v>
      </c>
      <c r="D232" s="73">
        <f>1000+G232</f>
        <v>500</v>
      </c>
      <c r="E232" s="75"/>
      <c r="G232" s="29">
        <v>-500</v>
      </c>
    </row>
    <row r="233" spans="1:5" ht="31.5" customHeight="1">
      <c r="A233" s="69"/>
      <c r="B233" s="25" t="s">
        <v>135</v>
      </c>
      <c r="C233" s="3"/>
      <c r="D233" s="57">
        <v>1085.8</v>
      </c>
      <c r="E233" s="68"/>
    </row>
    <row r="234" spans="1:5" ht="15.75">
      <c r="A234" s="69"/>
      <c r="B234" s="26" t="s">
        <v>153</v>
      </c>
      <c r="C234" s="3"/>
      <c r="D234" s="57">
        <f>SUM(D235:D244)</f>
        <v>2847</v>
      </c>
      <c r="E234" s="68"/>
    </row>
    <row r="235" spans="1:5" ht="15.75">
      <c r="A235" s="69"/>
      <c r="B235" s="25" t="s">
        <v>154</v>
      </c>
      <c r="C235" s="3" t="s">
        <v>151</v>
      </c>
      <c r="D235" s="57">
        <v>120</v>
      </c>
      <c r="E235" s="68"/>
    </row>
    <row r="236" spans="1:5" ht="15.75" customHeight="1">
      <c r="A236" s="69"/>
      <c r="B236" s="25" t="s">
        <v>155</v>
      </c>
      <c r="C236" s="3" t="s">
        <v>151</v>
      </c>
      <c r="D236" s="57">
        <v>120</v>
      </c>
      <c r="E236" s="68"/>
    </row>
    <row r="237" spans="1:5" ht="15.75">
      <c r="A237" s="69"/>
      <c r="B237" s="25" t="s">
        <v>187</v>
      </c>
      <c r="C237" s="3" t="s">
        <v>151</v>
      </c>
      <c r="D237" s="57">
        <v>150</v>
      </c>
      <c r="E237" s="68"/>
    </row>
    <row r="238" spans="1:5" ht="15.75">
      <c r="A238" s="69"/>
      <c r="B238" s="25" t="s">
        <v>156</v>
      </c>
      <c r="C238" s="3" t="s">
        <v>151</v>
      </c>
      <c r="D238" s="57">
        <v>120</v>
      </c>
      <c r="E238" s="68"/>
    </row>
    <row r="239" spans="1:5" ht="15.75">
      <c r="A239" s="69"/>
      <c r="B239" s="25" t="s">
        <v>157</v>
      </c>
      <c r="C239" s="3" t="s">
        <v>151</v>
      </c>
      <c r="D239" s="57">
        <v>180</v>
      </c>
      <c r="E239" s="68"/>
    </row>
    <row r="240" spans="1:5" ht="31.5">
      <c r="A240" s="69"/>
      <c r="B240" s="25" t="s">
        <v>158</v>
      </c>
      <c r="C240" s="3" t="s">
        <v>159</v>
      </c>
      <c r="D240" s="57">
        <v>760</v>
      </c>
      <c r="E240" s="68"/>
    </row>
    <row r="241" spans="1:5" ht="28.5" customHeight="1">
      <c r="A241" s="69"/>
      <c r="B241" s="25" t="s">
        <v>160</v>
      </c>
      <c r="C241" s="3" t="s">
        <v>260</v>
      </c>
      <c r="D241" s="57">
        <v>500</v>
      </c>
      <c r="E241" s="68"/>
    </row>
    <row r="242" spans="1:5" ht="15.75" customHeight="1" hidden="1">
      <c r="A242" s="69"/>
      <c r="B242" s="25" t="s">
        <v>130</v>
      </c>
      <c r="C242" s="3" t="s">
        <v>131</v>
      </c>
      <c r="D242" s="57">
        <v>0</v>
      </c>
      <c r="E242" s="68" t="e">
        <f>#REF!+#REF!+#REF!+#REF!+#REF!+#REF!+#REF!+#REF!+#REF!</f>
        <v>#REF!</v>
      </c>
    </row>
    <row r="243" spans="1:5" ht="17.25" customHeight="1">
      <c r="A243" s="69"/>
      <c r="B243" s="25" t="s">
        <v>261</v>
      </c>
      <c r="C243" s="3" t="s">
        <v>248</v>
      </c>
      <c r="D243" s="57">
        <v>210</v>
      </c>
      <c r="E243" s="68"/>
    </row>
    <row r="244" spans="1:5" ht="31.5">
      <c r="A244" s="69"/>
      <c r="B244" s="25" t="s">
        <v>135</v>
      </c>
      <c r="C244" s="3"/>
      <c r="D244" s="57">
        <v>687</v>
      </c>
      <c r="E244" s="68"/>
    </row>
    <row r="245" spans="1:5" ht="15.75">
      <c r="A245" s="69"/>
      <c r="B245" s="26" t="s">
        <v>161</v>
      </c>
      <c r="C245" s="3"/>
      <c r="D245" s="57">
        <f>SUM(D246:D250)</f>
        <v>897.4</v>
      </c>
      <c r="E245" s="68"/>
    </row>
    <row r="246" spans="1:5" ht="31.5">
      <c r="A246" s="69"/>
      <c r="B246" s="25" t="s">
        <v>162</v>
      </c>
      <c r="C246" s="62" t="s">
        <v>351</v>
      </c>
      <c r="D246" s="57">
        <v>256.4</v>
      </c>
      <c r="E246" s="68"/>
    </row>
    <row r="247" spans="1:5" ht="15.75">
      <c r="A247" s="69"/>
      <c r="B247" s="25" t="s">
        <v>163</v>
      </c>
      <c r="C247" s="62" t="s">
        <v>164</v>
      </c>
      <c r="D247" s="57">
        <v>146</v>
      </c>
      <c r="E247" s="68"/>
    </row>
    <row r="248" spans="1:5" ht="15.75" customHeight="1" hidden="1">
      <c r="A248" s="69"/>
      <c r="B248" s="25" t="s">
        <v>130</v>
      </c>
      <c r="C248" s="3" t="s">
        <v>131</v>
      </c>
      <c r="D248" s="57">
        <v>0</v>
      </c>
      <c r="E248" s="68"/>
    </row>
    <row r="249" spans="1:5" ht="78" customHeight="1">
      <c r="A249" s="69"/>
      <c r="B249" s="74" t="s">
        <v>394</v>
      </c>
      <c r="C249" s="74" t="s">
        <v>255</v>
      </c>
      <c r="D249" s="57">
        <v>195</v>
      </c>
      <c r="E249" s="75"/>
    </row>
    <row r="250" spans="1:5" ht="31.5">
      <c r="A250" s="69"/>
      <c r="B250" s="25" t="s">
        <v>135</v>
      </c>
      <c r="C250" s="3"/>
      <c r="D250" s="57">
        <v>300</v>
      </c>
      <c r="E250" s="68"/>
    </row>
    <row r="251" spans="1:5" ht="16.5" customHeight="1">
      <c r="A251" s="66" t="s">
        <v>300</v>
      </c>
      <c r="B251" s="190" t="s">
        <v>262</v>
      </c>
      <c r="C251" s="210"/>
      <c r="D251" s="67">
        <v>400</v>
      </c>
      <c r="E251" s="68"/>
    </row>
    <row r="252" spans="1:5" ht="30" customHeight="1">
      <c r="A252" s="66" t="s">
        <v>301</v>
      </c>
      <c r="B252" s="190" t="s">
        <v>407</v>
      </c>
      <c r="C252" s="210"/>
      <c r="D252" s="67">
        <f>D253+D259</f>
        <v>25591.399999999998</v>
      </c>
      <c r="E252" s="68"/>
    </row>
    <row r="253" spans="1:5" ht="31.5">
      <c r="A253" s="66" t="s">
        <v>302</v>
      </c>
      <c r="B253" s="24" t="s">
        <v>173</v>
      </c>
      <c r="C253" s="4"/>
      <c r="D253" s="67">
        <f>SUM(D254:D258)</f>
        <v>3269.6</v>
      </c>
      <c r="E253" s="68"/>
    </row>
    <row r="254" spans="1:5" ht="15.75">
      <c r="A254" s="69"/>
      <c r="B254" s="25" t="s">
        <v>174</v>
      </c>
      <c r="C254" s="3"/>
      <c r="D254" s="57">
        <v>300</v>
      </c>
      <c r="E254" s="68"/>
    </row>
    <row r="255" spans="1:5" ht="32.25" customHeight="1">
      <c r="A255" s="69"/>
      <c r="B255" s="25" t="s">
        <v>175</v>
      </c>
      <c r="C255" s="3"/>
      <c r="D255" s="57">
        <v>100</v>
      </c>
      <c r="E255" s="76"/>
    </row>
    <row r="256" spans="1:5" ht="78" customHeight="1">
      <c r="A256" s="69"/>
      <c r="B256" s="25" t="s">
        <v>296</v>
      </c>
      <c r="C256" s="3"/>
      <c r="D256" s="57">
        <v>600</v>
      </c>
      <c r="E256" s="76"/>
    </row>
    <row r="257" spans="1:4" ht="111" customHeight="1">
      <c r="A257" s="69"/>
      <c r="B257" s="25" t="s">
        <v>348</v>
      </c>
      <c r="C257" s="3"/>
      <c r="D257" s="57">
        <v>2209.6</v>
      </c>
    </row>
    <row r="258" spans="1:5" ht="62.25" customHeight="1">
      <c r="A258" s="69"/>
      <c r="B258" s="74" t="s">
        <v>263</v>
      </c>
      <c r="C258" s="74"/>
      <c r="D258" s="57">
        <v>60</v>
      </c>
      <c r="E258" s="78"/>
    </row>
    <row r="259" spans="1:4" ht="78.75">
      <c r="A259" s="66" t="s">
        <v>303</v>
      </c>
      <c r="B259" s="24" t="s">
        <v>378</v>
      </c>
      <c r="C259" s="4"/>
      <c r="D259" s="67">
        <f>SUM(D260:D280)</f>
        <v>22321.8</v>
      </c>
    </row>
    <row r="260" spans="1:4" ht="33.75" customHeight="1">
      <c r="A260" s="69"/>
      <c r="B260" s="79" t="s">
        <v>178</v>
      </c>
      <c r="C260" s="3"/>
      <c r="D260" s="57">
        <v>500</v>
      </c>
    </row>
    <row r="261" spans="1:4" ht="63.75" customHeight="1">
      <c r="A261" s="69"/>
      <c r="B261" s="25" t="s">
        <v>352</v>
      </c>
      <c r="C261" s="3"/>
      <c r="D261" s="57">
        <f>3000+938</f>
        <v>3938</v>
      </c>
    </row>
    <row r="262" spans="1:4" ht="31.5">
      <c r="A262" s="69"/>
      <c r="B262" s="25" t="s">
        <v>264</v>
      </c>
      <c r="C262" s="3"/>
      <c r="D262" s="57">
        <v>60</v>
      </c>
    </row>
    <row r="263" spans="1:4" ht="31.5">
      <c r="A263" s="69"/>
      <c r="B263" s="25" t="s">
        <v>265</v>
      </c>
      <c r="C263" s="3"/>
      <c r="D263" s="57">
        <v>100</v>
      </c>
    </row>
    <row r="264" spans="1:4" ht="93.75" customHeight="1">
      <c r="A264" s="69"/>
      <c r="B264" s="25" t="s">
        <v>297</v>
      </c>
      <c r="C264" s="3"/>
      <c r="D264" s="57">
        <v>6000</v>
      </c>
    </row>
    <row r="265" spans="1:8" ht="75.75" customHeight="1" hidden="1">
      <c r="A265" s="69"/>
      <c r="B265" s="25" t="s">
        <v>377</v>
      </c>
      <c r="C265" s="3"/>
      <c r="D265" s="57">
        <f>1300+H265</f>
        <v>0</v>
      </c>
      <c r="H265" s="29">
        <v>-1300</v>
      </c>
    </row>
    <row r="266" spans="1:4" ht="31.5">
      <c r="A266" s="69"/>
      <c r="B266" s="25" t="s">
        <v>189</v>
      </c>
      <c r="C266" s="3"/>
      <c r="D266" s="57">
        <v>1650</v>
      </c>
    </row>
    <row r="267" spans="1:4" ht="46.5" customHeight="1">
      <c r="A267" s="69"/>
      <c r="B267" s="25" t="s">
        <v>190</v>
      </c>
      <c r="C267" s="3"/>
      <c r="D267" s="57">
        <v>1860</v>
      </c>
    </row>
    <row r="268" spans="1:8" ht="63">
      <c r="A268" s="69"/>
      <c r="B268" s="25" t="s">
        <v>191</v>
      </c>
      <c r="C268" s="3"/>
      <c r="D268" s="57">
        <f>888+H268</f>
        <v>889</v>
      </c>
      <c r="H268" s="29">
        <v>1</v>
      </c>
    </row>
    <row r="269" spans="1:4" ht="15.75">
      <c r="A269" s="69"/>
      <c r="B269" s="25" t="s">
        <v>192</v>
      </c>
      <c r="C269" s="3"/>
      <c r="D269" s="57">
        <v>650</v>
      </c>
    </row>
    <row r="270" spans="1:8" ht="43.5" customHeight="1">
      <c r="A270" s="69"/>
      <c r="B270" s="25" t="s">
        <v>193</v>
      </c>
      <c r="C270" s="3"/>
      <c r="D270" s="57">
        <f>1852+H270</f>
        <v>1852</v>
      </c>
      <c r="H270" s="29">
        <f>-200+200</f>
        <v>0</v>
      </c>
    </row>
    <row r="271" spans="1:8" ht="48" customHeight="1">
      <c r="A271" s="69"/>
      <c r="B271" s="25" t="s">
        <v>372</v>
      </c>
      <c r="C271" s="3"/>
      <c r="D271" s="57">
        <f>2800-800+H271</f>
        <v>2000</v>
      </c>
      <c r="H271" s="29">
        <f>-200+200</f>
        <v>0</v>
      </c>
    </row>
    <row r="272" spans="1:8" ht="31.5" customHeight="1">
      <c r="A272" s="69"/>
      <c r="B272" s="25" t="s">
        <v>298</v>
      </c>
      <c r="C272" s="3"/>
      <c r="D272" s="57">
        <f>200+H272</f>
        <v>199</v>
      </c>
      <c r="H272" s="29">
        <v>-1</v>
      </c>
    </row>
    <row r="273" spans="1:8" ht="63">
      <c r="A273" s="69"/>
      <c r="B273" s="25" t="s">
        <v>408</v>
      </c>
      <c r="C273" s="3"/>
      <c r="D273" s="57">
        <f>H273</f>
        <v>0</v>
      </c>
      <c r="H273" s="29">
        <f>400-400</f>
        <v>0</v>
      </c>
    </row>
    <row r="274" spans="1:8" ht="47.25">
      <c r="A274" s="69"/>
      <c r="B274" s="25" t="s">
        <v>406</v>
      </c>
      <c r="C274" s="3"/>
      <c r="D274" s="57">
        <f>H274</f>
        <v>199.2</v>
      </c>
      <c r="H274" s="29">
        <v>199.2</v>
      </c>
    </row>
    <row r="275" spans="1:4" ht="63">
      <c r="A275" s="69"/>
      <c r="B275" s="25" t="s">
        <v>176</v>
      </c>
      <c r="C275" s="3"/>
      <c r="D275" s="57">
        <v>500</v>
      </c>
    </row>
    <row r="276" spans="1:4" ht="46.5" customHeight="1">
      <c r="A276" s="69"/>
      <c r="B276" s="25" t="s">
        <v>177</v>
      </c>
      <c r="C276" s="3"/>
      <c r="D276" s="57">
        <v>150</v>
      </c>
    </row>
    <row r="277" spans="1:8" ht="31.5">
      <c r="A277" s="69"/>
      <c r="B277" s="25" t="s">
        <v>266</v>
      </c>
      <c r="C277" s="3"/>
      <c r="D277" s="57">
        <f>400+H277</f>
        <v>810</v>
      </c>
      <c r="H277" s="29">
        <v>410</v>
      </c>
    </row>
    <row r="278" spans="1:8" ht="15.75">
      <c r="A278" s="69"/>
      <c r="B278" s="25" t="s">
        <v>207</v>
      </c>
      <c r="C278" s="3"/>
      <c r="D278" s="57">
        <f>300+H278</f>
        <v>200</v>
      </c>
      <c r="H278" s="29">
        <v>-100</v>
      </c>
    </row>
    <row r="279" spans="1:4" ht="16.5" customHeight="1">
      <c r="A279" s="69"/>
      <c r="B279" s="25" t="s">
        <v>267</v>
      </c>
      <c r="C279" s="3"/>
      <c r="D279" s="57">
        <v>400</v>
      </c>
    </row>
    <row r="280" spans="1:8" ht="31.5">
      <c r="A280" s="69"/>
      <c r="B280" s="25" t="s">
        <v>179</v>
      </c>
      <c r="C280" s="3"/>
      <c r="D280" s="57">
        <f>312+H280</f>
        <v>364.6</v>
      </c>
      <c r="H280" s="29">
        <v>52.6</v>
      </c>
    </row>
    <row r="281" spans="1:4" ht="15.75">
      <c r="A281" s="66" t="s">
        <v>304</v>
      </c>
      <c r="B281" s="190" t="s">
        <v>195</v>
      </c>
      <c r="C281" s="210"/>
      <c r="D281" s="67">
        <f>D282</f>
        <v>2500</v>
      </c>
    </row>
    <row r="282" spans="1:4" ht="45" customHeight="1">
      <c r="A282" s="69"/>
      <c r="B282" s="25" t="s">
        <v>165</v>
      </c>
      <c r="C282" s="25"/>
      <c r="D282" s="57">
        <f>D284+D288</f>
        <v>2500</v>
      </c>
    </row>
    <row r="283" spans="1:4" ht="15.75">
      <c r="A283" s="80"/>
      <c r="B283" s="25" t="s">
        <v>180</v>
      </c>
      <c r="C283" s="3"/>
      <c r="D283" s="81"/>
    </row>
    <row r="284" spans="1:4" ht="15.75">
      <c r="A284" s="80"/>
      <c r="B284" s="25" t="s">
        <v>181</v>
      </c>
      <c r="C284" s="3"/>
      <c r="D284" s="81">
        <f>D285+D286+D287</f>
        <v>2350</v>
      </c>
    </row>
    <row r="285" spans="1:4" ht="207" customHeight="1">
      <c r="A285" s="80"/>
      <c r="B285" s="25" t="s">
        <v>382</v>
      </c>
      <c r="C285" s="3" t="s">
        <v>182</v>
      </c>
      <c r="D285" s="81">
        <v>2099.3</v>
      </c>
    </row>
    <row r="286" spans="1:4" ht="31.5">
      <c r="A286" s="80"/>
      <c r="B286" s="55" t="s">
        <v>379</v>
      </c>
      <c r="C286" s="3" t="s">
        <v>184</v>
      </c>
      <c r="D286" s="81">
        <v>134.5</v>
      </c>
    </row>
    <row r="287" spans="1:4" ht="111" customHeight="1">
      <c r="A287" s="80"/>
      <c r="B287" s="55" t="s">
        <v>395</v>
      </c>
      <c r="C287" s="3" t="s">
        <v>380</v>
      </c>
      <c r="D287" s="81">
        <v>116.2</v>
      </c>
    </row>
    <row r="288" spans="1:4" ht="45.75" customHeight="1">
      <c r="A288" s="80"/>
      <c r="B288" s="25" t="s">
        <v>185</v>
      </c>
      <c r="C288" s="25" t="s">
        <v>186</v>
      </c>
      <c r="D288" s="81">
        <v>150</v>
      </c>
    </row>
    <row r="289" spans="1:6" ht="15.75">
      <c r="A289" s="82" t="s">
        <v>396</v>
      </c>
      <c r="B289" s="4"/>
      <c r="C289" s="4"/>
      <c r="D289" s="83">
        <f>D132+D130</f>
        <v>72450.85</v>
      </c>
      <c r="F289" s="83">
        <f>F132+F130</f>
        <v>-100</v>
      </c>
    </row>
    <row r="290" ht="15.75"/>
    <row r="291" ht="15.75"/>
    <row r="292" spans="1:5" s="84" customFormat="1" ht="16.5" customHeight="1">
      <c r="A292" s="227" t="s">
        <v>268</v>
      </c>
      <c r="B292" s="227"/>
      <c r="C292" s="227"/>
      <c r="D292" s="227"/>
      <c r="E292" s="112"/>
    </row>
    <row r="293" spans="1:5" s="84" customFormat="1" ht="16.5" customHeight="1">
      <c r="A293" s="227" t="s">
        <v>269</v>
      </c>
      <c r="B293" s="227"/>
      <c r="C293" s="227"/>
      <c r="D293" s="227"/>
      <c r="E293" s="112"/>
    </row>
    <row r="294" spans="1:5" ht="15.75">
      <c r="A294" s="85"/>
      <c r="B294" s="86"/>
      <c r="C294" s="87"/>
      <c r="D294" s="88"/>
      <c r="E294" s="76"/>
    </row>
    <row r="295" spans="1:5" ht="31.5">
      <c r="A295" s="89" t="s">
        <v>270</v>
      </c>
      <c r="B295" s="90" t="s">
        <v>271</v>
      </c>
      <c r="C295" s="90" t="s">
        <v>272</v>
      </c>
      <c r="D295" s="91" t="s">
        <v>273</v>
      </c>
      <c r="E295" s="92"/>
    </row>
    <row r="296" spans="1:4" ht="15.75">
      <c r="A296" s="93" t="s">
        <v>274</v>
      </c>
      <c r="B296" s="82" t="s">
        <v>275</v>
      </c>
      <c r="C296" s="42"/>
      <c r="D296" s="83">
        <f>D297</f>
        <v>179</v>
      </c>
    </row>
    <row r="297" spans="1:4" ht="31.5">
      <c r="A297" s="94"/>
      <c r="B297" s="42" t="s">
        <v>276</v>
      </c>
      <c r="C297" s="3" t="s">
        <v>299</v>
      </c>
      <c r="D297" s="95">
        <v>179</v>
      </c>
    </row>
    <row r="298" spans="1:4" ht="15.75">
      <c r="A298" s="93" t="s">
        <v>277</v>
      </c>
      <c r="B298" s="82" t="s">
        <v>278</v>
      </c>
      <c r="C298" s="42"/>
      <c r="D298" s="83">
        <f>D299</f>
        <v>228</v>
      </c>
    </row>
    <row r="299" spans="1:4" ht="31.5">
      <c r="A299" s="94"/>
      <c r="B299" s="42" t="s">
        <v>279</v>
      </c>
      <c r="C299" s="3" t="s">
        <v>299</v>
      </c>
      <c r="D299" s="95">
        <v>228</v>
      </c>
    </row>
    <row r="300" spans="1:4" ht="15.75">
      <c r="A300" s="93" t="s">
        <v>280</v>
      </c>
      <c r="B300" s="82" t="s">
        <v>281</v>
      </c>
      <c r="C300" s="42"/>
      <c r="D300" s="83">
        <f>D301</f>
        <v>219</v>
      </c>
    </row>
    <row r="301" spans="1:4" ht="15.75">
      <c r="A301" s="94"/>
      <c r="B301" s="42" t="s">
        <v>282</v>
      </c>
      <c r="C301" s="42" t="s">
        <v>242</v>
      </c>
      <c r="D301" s="95">
        <v>219</v>
      </c>
    </row>
    <row r="302" spans="1:4" ht="15.75">
      <c r="A302" s="93" t="s">
        <v>283</v>
      </c>
      <c r="B302" s="82" t="s">
        <v>284</v>
      </c>
      <c r="C302" s="42"/>
      <c r="D302" s="83">
        <f>D303+D304</f>
        <v>246</v>
      </c>
    </row>
    <row r="303" spans="1:4" ht="15.75">
      <c r="A303" s="94"/>
      <c r="B303" s="42" t="s">
        <v>285</v>
      </c>
      <c r="C303" s="42" t="s">
        <v>242</v>
      </c>
      <c r="D303" s="95">
        <v>156</v>
      </c>
    </row>
    <row r="304" spans="1:4" ht="31.5">
      <c r="A304" s="94"/>
      <c r="B304" s="42" t="s">
        <v>286</v>
      </c>
      <c r="C304" s="3" t="s">
        <v>299</v>
      </c>
      <c r="D304" s="95">
        <v>90</v>
      </c>
    </row>
    <row r="305" spans="1:4" ht="15.75">
      <c r="A305" s="93" t="s">
        <v>287</v>
      </c>
      <c r="B305" s="82" t="s">
        <v>288</v>
      </c>
      <c r="C305" s="42"/>
      <c r="D305" s="83">
        <f>D306</f>
        <v>203</v>
      </c>
    </row>
    <row r="306" spans="1:4" ht="15.75">
      <c r="A306" s="94"/>
      <c r="B306" s="42" t="s">
        <v>160</v>
      </c>
      <c r="C306" s="42" t="s">
        <v>242</v>
      </c>
      <c r="D306" s="95">
        <v>203</v>
      </c>
    </row>
    <row r="307" spans="1:4" ht="15.75">
      <c r="A307" s="93" t="s">
        <v>289</v>
      </c>
      <c r="B307" s="82" t="s">
        <v>290</v>
      </c>
      <c r="C307" s="42"/>
      <c r="D307" s="83">
        <f>D308</f>
        <v>183</v>
      </c>
    </row>
    <row r="308" spans="1:4" ht="31.5">
      <c r="A308" s="80"/>
      <c r="B308" s="96" t="s">
        <v>291</v>
      </c>
      <c r="C308" s="3" t="s">
        <v>299</v>
      </c>
      <c r="D308" s="81">
        <v>183</v>
      </c>
    </row>
    <row r="309" spans="1:4" ht="15.75">
      <c r="A309" s="80"/>
      <c r="B309" s="82" t="s">
        <v>292</v>
      </c>
      <c r="C309" s="42"/>
      <c r="D309" s="97">
        <f>D296+D298+D300+D302+D305+D307</f>
        <v>1258</v>
      </c>
    </row>
  </sheetData>
  <mergeCells count="41">
    <mergeCell ref="A293:D293"/>
    <mergeCell ref="B251:C251"/>
    <mergeCell ref="B252:C252"/>
    <mergeCell ref="B281:C281"/>
    <mergeCell ref="A292:D292"/>
    <mergeCell ref="B134:C134"/>
    <mergeCell ref="B179:C179"/>
    <mergeCell ref="B185:C185"/>
    <mergeCell ref="B190:C190"/>
    <mergeCell ref="B123:C123"/>
    <mergeCell ref="A129:C129"/>
    <mergeCell ref="B132:C132"/>
    <mergeCell ref="B133:C133"/>
    <mergeCell ref="B72:C72"/>
    <mergeCell ref="A77:C77"/>
    <mergeCell ref="B79:C79"/>
    <mergeCell ref="B101:C101"/>
    <mergeCell ref="A58:A60"/>
    <mergeCell ref="B58:B60"/>
    <mergeCell ref="A62:A65"/>
    <mergeCell ref="B62:B65"/>
    <mergeCell ref="A48:A50"/>
    <mergeCell ref="B48:B50"/>
    <mergeCell ref="A55:A56"/>
    <mergeCell ref="B55:B56"/>
    <mergeCell ref="A39:A42"/>
    <mergeCell ref="B39:B42"/>
    <mergeCell ref="A44:A45"/>
    <mergeCell ref="B44:B45"/>
    <mergeCell ref="A20:A21"/>
    <mergeCell ref="B20:B21"/>
    <mergeCell ref="A32:A33"/>
    <mergeCell ref="B32:B33"/>
    <mergeCell ref="B5:C5"/>
    <mergeCell ref="B9:C9"/>
    <mergeCell ref="A15:A16"/>
    <mergeCell ref="B15:B16"/>
    <mergeCell ref="C1:D1"/>
    <mergeCell ref="A2:D2"/>
    <mergeCell ref="C3:D3"/>
    <mergeCell ref="A4:D4"/>
  </mergeCells>
  <printOptions/>
  <pageMargins left="0.5" right="0.23" top="1" bottom="1" header="0.5" footer="0.5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Лясковская </dc:creator>
  <cp:keywords/>
  <dc:description/>
  <cp:lastModifiedBy>bugs bunny</cp:lastModifiedBy>
  <cp:lastPrinted>2005-07-04T11:42:08Z</cp:lastPrinted>
  <dcterms:created xsi:type="dcterms:W3CDTF">2003-01-20T14:01:06Z</dcterms:created>
  <dcterms:modified xsi:type="dcterms:W3CDTF">2005-07-20T20:00:59Z</dcterms:modified>
  <cp:category/>
  <cp:version/>
  <cp:contentType/>
  <cp:contentStatus/>
</cp:coreProperties>
</file>