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activeTab="0"/>
  </bookViews>
  <sheets>
    <sheet name="разделы" sheetId="1" r:id="rId1"/>
    <sheet name="виды" sheetId="2" r:id="rId2"/>
    <sheet name="главы" sheetId="3" r:id="rId3"/>
    <sheet name="программы" sheetId="4" r:id="rId4"/>
  </sheets>
  <definedNames>
    <definedName name="_xlnm.Print_Titles" localSheetId="1">'виды'!$14:$16</definedName>
    <definedName name="_xlnm.Print_Titles" localSheetId="2">'главы'!$24:$28</definedName>
    <definedName name="_xlnm.Print_Titles" localSheetId="0">'разделы'!$13:$15</definedName>
    <definedName name="_xlnm.Print_Area" localSheetId="2">'главы'!$A$1:$H$352</definedName>
    <definedName name="_xlnm.Print_Area" localSheetId="0">'разделы'!$A$1:$E$65</definedName>
  </definedNames>
  <calcPr fullCalcOnLoad="1"/>
</workbook>
</file>

<file path=xl/sharedStrings.xml><?xml version="1.0" encoding="utf-8"?>
<sst xmlns="http://schemas.openxmlformats.org/spreadsheetml/2006/main" count="2210" uniqueCount="319">
  <si>
    <t>Целевая статья</t>
  </si>
  <si>
    <t>Театры, цирки, концертные и другие организации исполнительских искусств</t>
  </si>
  <si>
    <t>4430000</t>
  </si>
  <si>
    <t>453</t>
  </si>
  <si>
    <t>4210000</t>
  </si>
  <si>
    <t>4220000</t>
  </si>
  <si>
    <t>Периодические издания, учрежденные органами законодательной и исполнительной власти</t>
  </si>
  <si>
    <t>4570000</t>
  </si>
  <si>
    <t>Реализация государственных функций в области национальной экономики</t>
  </si>
  <si>
    <t>3400000</t>
  </si>
  <si>
    <t>Коммунальное хозяйство</t>
  </si>
  <si>
    <t>Поддержка коммунального хозяйства</t>
  </si>
  <si>
    <t>3510000</t>
  </si>
  <si>
    <t>Мероприятия по землеустройству и землепользованию</t>
  </si>
  <si>
    <t>406</t>
  </si>
  <si>
    <t>Перечень программ</t>
  </si>
  <si>
    <t>Функционирование Правительства РФ, высших органов исполнительной власти субъектов РФ, местных администраций</t>
  </si>
  <si>
    <t>Другие вопросы в области жилищно-коммунального хозяйства</t>
  </si>
  <si>
    <t>177</t>
  </si>
  <si>
    <t>Обеспечение деятельности финансовых, налоговых и таможенных органов и органов надзора</t>
  </si>
  <si>
    <t>Жилищно-коммунальное хозяйство</t>
  </si>
  <si>
    <t>Национальная безопасность и правоохранительная деятельность</t>
  </si>
  <si>
    <t>Центральный аппарат</t>
  </si>
  <si>
    <t>005</t>
  </si>
  <si>
    <t>Общегосударственные вопросы</t>
  </si>
  <si>
    <t>Национальная экономика</t>
  </si>
  <si>
    <t>Здравоохранение и спорт</t>
  </si>
  <si>
    <t>4410000</t>
  </si>
  <si>
    <t>Реализация государственных функций, связанных с общегосударственным управлением</t>
  </si>
  <si>
    <t>0920000</t>
  </si>
  <si>
    <t>Финансовая поддержка на возвратной основе</t>
  </si>
  <si>
    <t>Обеспечение деятельности подведомственных учреждений</t>
  </si>
  <si>
    <t>Наименование</t>
  </si>
  <si>
    <t>Раз-дел</t>
  </si>
  <si>
    <t>Под-раз-дел</t>
  </si>
  <si>
    <t>ОБЩЕГОСУДАРСТВЕННЫЕ ВОПРОСЫ</t>
  </si>
  <si>
    <t>Функционирование высшего должностного лица субъекта РФ и органа местного самоуправления</t>
  </si>
  <si>
    <t>01</t>
  </si>
  <si>
    <t>02</t>
  </si>
  <si>
    <t>Функционирование законодательных (представительных) органов государственной власти и местного самоуправления</t>
  </si>
  <si>
    <t>03</t>
  </si>
  <si>
    <t>05</t>
  </si>
  <si>
    <t>Обеспечение проведения выборов и референдумов</t>
  </si>
  <si>
    <t>07</t>
  </si>
  <si>
    <t>Обслуживание государственного и муниципального долга</t>
  </si>
  <si>
    <t>12</t>
  </si>
  <si>
    <t>Резервные фонды</t>
  </si>
  <si>
    <t>13</t>
  </si>
  <si>
    <t>Другие общегосударственные вопросы</t>
  </si>
  <si>
    <t>15</t>
  </si>
  <si>
    <t>НАЦИОНАЛЬНАЯ БЕЗОПАСНОСТЬ И ПРАВООХРАНИТЕЛЬНАЯ ДЕЯТЕЛЬНОСТЬ</t>
  </si>
  <si>
    <t>Органы внутренних дел</t>
  </si>
  <si>
    <t>Предупреждение и ликвидация последствий чрезвычайных ситуаций и стихийных бедствий, гражданская оборона</t>
  </si>
  <si>
    <t>09</t>
  </si>
  <si>
    <t>Обеспечение противопожарной безопасности</t>
  </si>
  <si>
    <t>10</t>
  </si>
  <si>
    <t>НАЦИОНАЛЬНАЯ ЭКОНОМИКА</t>
  </si>
  <si>
    <t>04</t>
  </si>
  <si>
    <t>Топливо и энергетика</t>
  </si>
  <si>
    <t>06</t>
  </si>
  <si>
    <t>Транспорт</t>
  </si>
  <si>
    <t>08</t>
  </si>
  <si>
    <t>Другие вопросы в области национальной экономики</t>
  </si>
  <si>
    <t>11</t>
  </si>
  <si>
    <t>ЖИЛИЩНО-КОММУНАЛЬНОЕ ХОЗЯЙСТВО</t>
  </si>
  <si>
    <t>ОБРАЗОВАНИЕ</t>
  </si>
  <si>
    <t>Общее образование</t>
  </si>
  <si>
    <t>Другие вопросы в области образования</t>
  </si>
  <si>
    <t>Культура</t>
  </si>
  <si>
    <t>Периодическая печать и издательства</t>
  </si>
  <si>
    <t>ЗДРАВООХРАНЕНИЕ И СПОРТ</t>
  </si>
  <si>
    <t>Здравоохранение</t>
  </si>
  <si>
    <t>Спорт и физическая культура</t>
  </si>
  <si>
    <t>Другие вопросы в области здравоохранения и спорта</t>
  </si>
  <si>
    <t>Проведение выборов и референдумов</t>
  </si>
  <si>
    <t>0200000</t>
  </si>
  <si>
    <t>0650000</t>
  </si>
  <si>
    <t>Процентные платежи по долговым обязательствам</t>
  </si>
  <si>
    <t>СОЦИАЛЬНАЯ ПОЛИТИКА</t>
  </si>
  <si>
    <t>Другие вопросы в области социальной политики</t>
  </si>
  <si>
    <t>ЦСР</t>
  </si>
  <si>
    <t>Руководство и управление в сфере установленных функций</t>
  </si>
  <si>
    <t>0010000</t>
  </si>
  <si>
    <t>Гла-ва</t>
  </si>
  <si>
    <t>054</t>
  </si>
  <si>
    <t>Образование</t>
  </si>
  <si>
    <t>Поликлиники, амбулатории, диагностические центры</t>
  </si>
  <si>
    <t>447</t>
  </si>
  <si>
    <t>Расходы на проведение общероссийских мероприятий для детей и учащейся молодежи</t>
  </si>
  <si>
    <t>056</t>
  </si>
  <si>
    <t>Учреждения по внешкольной работе с детьми</t>
  </si>
  <si>
    <t>Музеи и постоянные выставки</t>
  </si>
  <si>
    <t>Библиотеки</t>
  </si>
  <si>
    <t>Кинематография</t>
  </si>
  <si>
    <t>Мероприятия в области здравоохранения, спорта и физической культуры, туризма</t>
  </si>
  <si>
    <t>Физкультурно-оздоровительная работа и спортивные мероприятия</t>
  </si>
  <si>
    <t>5120000</t>
  </si>
  <si>
    <t>Государственная поддержка в сфере культуры, кинематографии и средств массовой информации</t>
  </si>
  <si>
    <t>075</t>
  </si>
  <si>
    <t>Школы-детские сады, школы начальные, неполные средние и средние</t>
  </si>
  <si>
    <t>Школы-интернаты</t>
  </si>
  <si>
    <t>197</t>
  </si>
  <si>
    <t>092</t>
  </si>
  <si>
    <t>455</t>
  </si>
  <si>
    <t>Социальная политика</t>
  </si>
  <si>
    <t>330</t>
  </si>
  <si>
    <t>0310</t>
  </si>
  <si>
    <t>520</t>
  </si>
  <si>
    <t>Железнодорожный транспорт</t>
  </si>
  <si>
    <t>148</t>
  </si>
  <si>
    <t>327</t>
  </si>
  <si>
    <t>163</t>
  </si>
  <si>
    <t>164</t>
  </si>
  <si>
    <t>188</t>
  </si>
  <si>
    <t>303</t>
  </si>
  <si>
    <t>3050000</t>
  </si>
  <si>
    <t>Меры социальной поддержки граждан</t>
  </si>
  <si>
    <t>5050000</t>
  </si>
  <si>
    <t>Учреждения, обеспечивающие предоставление услуг в сфере здравоохранения</t>
  </si>
  <si>
    <t>4690000</t>
  </si>
  <si>
    <t>Предоставление субсидий</t>
  </si>
  <si>
    <t>0700000</t>
  </si>
  <si>
    <t>2480000</t>
  </si>
  <si>
    <t>глава</t>
  </si>
  <si>
    <t>КВР</t>
  </si>
  <si>
    <t>классификация</t>
  </si>
  <si>
    <t>Региональные целевые программы</t>
  </si>
  <si>
    <t>5220000</t>
  </si>
  <si>
    <t>Больницы, клиники, госпитали, медико-санитарные части</t>
  </si>
  <si>
    <t>4700000</t>
  </si>
  <si>
    <t>4710000</t>
  </si>
  <si>
    <t>4230000</t>
  </si>
  <si>
    <t>4420000</t>
  </si>
  <si>
    <t>4500000</t>
  </si>
  <si>
    <t>Мероприятия в области социальной политики</t>
  </si>
  <si>
    <t>482</t>
  </si>
  <si>
    <t>Обеспечение функционирования органов в сфере национальной безопасности и правоохранительной деятельности</t>
  </si>
  <si>
    <t>253</t>
  </si>
  <si>
    <t>Строительство объектов общегражданского назначения</t>
  </si>
  <si>
    <t>214</t>
  </si>
  <si>
    <t>Мероприятия в области застройки территорий</t>
  </si>
  <si>
    <t>3380000</t>
  </si>
  <si>
    <t>Мероприятия в области строительства, архитектуры и градостроительства</t>
  </si>
  <si>
    <t>405</t>
  </si>
  <si>
    <t xml:space="preserve">Национальная экономика </t>
  </si>
  <si>
    <t>КУЛЬТУРА, КИНЕМАТОГРАФИЯ И СРЕДСТВА МАССОВОЙ ИНФОРМАЦИИ</t>
  </si>
  <si>
    <t>Другие вопросы в области культуры, кинематографии и средств массовой информации</t>
  </si>
  <si>
    <t>из них: предоставление бюджетных кредитов</t>
  </si>
  <si>
    <t>Приложение № 6</t>
  </si>
  <si>
    <t>Приложение № 7</t>
  </si>
  <si>
    <t>Вид рас-хо-дов</t>
  </si>
  <si>
    <t>в том числе предпри-нима-тельская деятель-ность</t>
  </si>
  <si>
    <t>в том числе предпри-ниматель-ская деятель-ность</t>
  </si>
  <si>
    <t>Всего</t>
  </si>
  <si>
    <t>216</t>
  </si>
  <si>
    <t>Расходы, связанные с выполнением других обязательств государства</t>
  </si>
  <si>
    <t>Мероприятия в сфере культуры, кинематографии и средств массовой информации</t>
  </si>
  <si>
    <t>Другие вопросы в области культуры, кинематографии, средств массовой информации</t>
  </si>
  <si>
    <t xml:space="preserve">        В С Е Г О</t>
  </si>
  <si>
    <t>Сумма , тыс. руб.</t>
  </si>
  <si>
    <t xml:space="preserve">УПРАВЛЕНИЕ ЗДРАВООХРАНЕНИЯ  </t>
  </si>
  <si>
    <t>4760000</t>
  </si>
  <si>
    <t>Родильные дома</t>
  </si>
  <si>
    <t>УПРАВЛЕНИЕ КУЛЬТУРЫ</t>
  </si>
  <si>
    <t>УПРАВЛЕНИЕ ОБРАЗОВАНИЯ</t>
  </si>
  <si>
    <t>ФИНАНСОВОЕ УПРАВЛЕНИЕ</t>
  </si>
  <si>
    <t>Ведомственная структура расходов муниципального бюджета на 2005 год</t>
  </si>
  <si>
    <t>Дошкольное образование</t>
  </si>
  <si>
    <t>Молодежная политика и оздоровление детей</t>
  </si>
  <si>
    <t xml:space="preserve">УПРАВЛЕНИЕ СОЦИАЛЬНОЙ ЗАЩИТЫ  НАСЕЛЕНИЯ </t>
  </si>
  <si>
    <t>МУНИЦИПАЛЬНЫЙ СОВЕТ</t>
  </si>
  <si>
    <t>010</t>
  </si>
  <si>
    <t>Высшее должностное лицо органа местного самоуправления</t>
  </si>
  <si>
    <t>Глава законодательной (представительной) власти местного самоуправления</t>
  </si>
  <si>
    <t>026</t>
  </si>
  <si>
    <t>Члены законодательной (представительной) власти местного самоуправления</t>
  </si>
  <si>
    <t>027</t>
  </si>
  <si>
    <t>Реализация государственных функций связанных с общегосударственным управлением</t>
  </si>
  <si>
    <t>БЕЛОЗЕРСКИЙ АДМИНИСТРАТИВНЫЙ ОКРУГ</t>
  </si>
  <si>
    <t>002</t>
  </si>
  <si>
    <t>Государственная поддержка малого предпринимательства</t>
  </si>
  <si>
    <t>521</t>
  </si>
  <si>
    <t>Малый бизнес и предпринимательство</t>
  </si>
  <si>
    <t>3450000</t>
  </si>
  <si>
    <t>412</t>
  </si>
  <si>
    <t>Вопросы топливно-энергетического комплекса</t>
  </si>
  <si>
    <t>НЕНОКСКИЙ АДМИНИСТРАТИВНЫЙ ОКРУГ</t>
  </si>
  <si>
    <t>003</t>
  </si>
  <si>
    <t>Детские дошкольные учреждения</t>
  </si>
  <si>
    <t>4200000</t>
  </si>
  <si>
    <t>Мероприятия по благоустройству городских и сельских поселений</t>
  </si>
  <si>
    <t>4320000</t>
  </si>
  <si>
    <t>452</t>
  </si>
  <si>
    <t>Мероприятия по организации оздоровительной компании детей и подростков</t>
  </si>
  <si>
    <t>Оздоровление детей и подростков</t>
  </si>
  <si>
    <t>Резервные фонды  органов местного самоуправления</t>
  </si>
  <si>
    <t>184</t>
  </si>
  <si>
    <t>152</t>
  </si>
  <si>
    <t>Процентные платежи по муниципальному долгу</t>
  </si>
  <si>
    <t>КОМИТЕТ ЖКХ, Т И С</t>
  </si>
  <si>
    <t>133</t>
  </si>
  <si>
    <t>Другие виды транспорта</t>
  </si>
  <si>
    <t>3170000</t>
  </si>
  <si>
    <t>Жилищное хозяйство</t>
  </si>
  <si>
    <t>3500000</t>
  </si>
  <si>
    <t>Поддержка жилищного хозяйства</t>
  </si>
  <si>
    <t>411</t>
  </si>
  <si>
    <t>Пенсионное обеспечение</t>
  </si>
  <si>
    <t>4900000</t>
  </si>
  <si>
    <t>Пенсии</t>
  </si>
  <si>
    <t>Пенсии другим категориям граждан</t>
  </si>
  <si>
    <t>463</t>
  </si>
  <si>
    <t>КОМИТЕТ ПО УПРАВЛЕНИЮ ИМУЩЕСТВОМ</t>
  </si>
  <si>
    <t>4520000</t>
  </si>
  <si>
    <t>Учебно-методические кабинеты, центральные бухгалтерии, группы  хозяйственного обслуживания, учебные фильмотеки</t>
  </si>
  <si>
    <t>МСОУ "СТРОИТЕЛЬ"</t>
  </si>
  <si>
    <t>ПОЖАРНАЯ ЧАСТЬ № 7</t>
  </si>
  <si>
    <t xml:space="preserve">УПРАВЛЕНИЕ ВНУТРЕННИХ ДЕЛ  </t>
  </si>
  <si>
    <t>АДМИНИСТРАЦИЯ МУНИЦИПАЛЬНОГО ОБРАЗОВАНИЯ СЕВЕРОДВИНСК</t>
  </si>
  <si>
    <t>КОМИТЕТ ПО ЗЕМЕЛЬНЫМ РЕСУРСАМ И ЗЕМЛЕУСТРОЙСТВУ</t>
  </si>
  <si>
    <t>071</t>
  </si>
  <si>
    <t>3390000</t>
  </si>
  <si>
    <t>Земельные и кадастровые палаты</t>
  </si>
  <si>
    <t>Культура, кинематография и средства массовой информации</t>
  </si>
  <si>
    <t>Проведение выборов высшего должностного лица местного самоуправления</t>
  </si>
  <si>
    <t>098</t>
  </si>
  <si>
    <t>Телевидение и радиовещание</t>
  </si>
  <si>
    <t>Телерадиокомпании</t>
  </si>
  <si>
    <t>4530000</t>
  </si>
  <si>
    <t>Периодическая печать</t>
  </si>
  <si>
    <t>4560000</t>
  </si>
  <si>
    <t>Дворцы и дома культуры, другие учреждения культуры и средства массовой информации</t>
  </si>
  <si>
    <t>4400000</t>
  </si>
  <si>
    <t>МУ СРЦ "Солнышко"</t>
  </si>
  <si>
    <t>Центр СППР "Патриот"</t>
  </si>
  <si>
    <t>Социальное обслуживание населения</t>
  </si>
  <si>
    <t>Программа модернизации медицинского оборудования на 2005-2006гг</t>
  </si>
  <si>
    <t>ФЦП "Культура России РФ 2001-2005гг." раздел "Безопасностьи сохранение культурных ценностей"</t>
  </si>
  <si>
    <t>Муниципальная Программа"Сохранение культурного наследия и развития культуры  Северодвинска на 2003-2005гг"</t>
  </si>
  <si>
    <t>Управление образования</t>
  </si>
  <si>
    <t>Управление здравоохранения</t>
  </si>
  <si>
    <t>Управление культуры</t>
  </si>
  <si>
    <t>Программа социальной поддержки населения на 2005год</t>
  </si>
  <si>
    <t>Управление социальной защиты населения</t>
  </si>
  <si>
    <t>Инвестиционная программа</t>
  </si>
  <si>
    <t>Финансовое управление</t>
  </si>
  <si>
    <t>Муниципальная Целевая Программа"Модернизация лифтового оборудования в жилищном фонде Северодвинска в 2004-2010гг"</t>
  </si>
  <si>
    <t>Комитет ЖКХ</t>
  </si>
  <si>
    <t>комплексная  Программа  охраны общественного порядка и предупреждение правонарушений на территории Северодвинска "Правопорядок-2005"</t>
  </si>
  <si>
    <t>УВД</t>
  </si>
  <si>
    <t>муниципальная целевая Программа "Обеспечение пожарной безопасности и создание пожарно-спасательной службы в МО Северодвинск на 2004-2006 годы"</t>
  </si>
  <si>
    <t>Пожарная часть № 7</t>
  </si>
  <si>
    <t>1002</t>
  </si>
  <si>
    <t>Перечень целевых программ предусмотренных в муниципальном бюджете на 2005 год</t>
  </si>
  <si>
    <t>190</t>
  </si>
  <si>
    <t>0302</t>
  </si>
  <si>
    <t>522</t>
  </si>
  <si>
    <t>3400</t>
  </si>
  <si>
    <t>Распределение ассигнований из муниципального бюджета на 2005 год по разделам и подразделам функциональной классификации расходов бюджетов Российской Федерации</t>
  </si>
  <si>
    <t>Распределение ассигнований из муниципального бюджета на 2005 год по разделам, подразделам, целевым статьям и видам расходов функциональной классификации расходов бюджетов Российской Федерации</t>
  </si>
  <si>
    <t>за счет субвенции</t>
  </si>
  <si>
    <t>Приложение № 5</t>
  </si>
  <si>
    <t>Раздел подраздел</t>
  </si>
  <si>
    <t>Муниципальная целевая Программа "Молодежь Северодвинска на 2003-2005гг"</t>
  </si>
  <si>
    <t>0707</t>
  </si>
  <si>
    <t>700</t>
  </si>
  <si>
    <t>сумма тыс. руб.</t>
  </si>
  <si>
    <t>366</t>
  </si>
  <si>
    <t>2180000</t>
  </si>
  <si>
    <t>Мероприятия по предупреждению и ликвидации последствий чрезвычайных ситуаций и стихийных бедствий</t>
  </si>
  <si>
    <t>1020000</t>
  </si>
  <si>
    <t>213</t>
  </si>
  <si>
    <t>Строительство объектов для нужд отрасли</t>
  </si>
  <si>
    <t>Отдельные мероприятия в области дорожного хозяйства</t>
  </si>
  <si>
    <t>Мероприятия в области коммунального хозяйства по развитию, реконструкции и замене инженерных сетей</t>
  </si>
  <si>
    <t>Муниципальная программа "Развитие здравоохранения Северодвинска на 2004-2006г"</t>
  </si>
  <si>
    <t>0901</t>
  </si>
  <si>
    <t>2800</t>
  </si>
  <si>
    <t>7400</t>
  </si>
  <si>
    <t>Программа развития муниципальной системы образования Северодвинска на 2001-2005 годы"</t>
  </si>
  <si>
    <t>Муниципальная целевая Программа "Модернизация основного технологического оборудования дошкольных образовательных учреждений Управления образования МО Северодвинск на 2005-2008 годы"</t>
  </si>
  <si>
    <t xml:space="preserve">Муниципальная целевая Программа "Благоустройство территорий образовательных учреждений Управления образования на 2005-2008 годы" </t>
  </si>
  <si>
    <t>0702</t>
  </si>
  <si>
    <t>600</t>
  </si>
  <si>
    <t>0701</t>
  </si>
  <si>
    <t>1100</t>
  </si>
  <si>
    <t>450</t>
  </si>
  <si>
    <t>640</t>
  </si>
  <si>
    <t>400</t>
  </si>
  <si>
    <t>0801</t>
  </si>
  <si>
    <t>140</t>
  </si>
  <si>
    <t>0115</t>
  </si>
  <si>
    <t>2000</t>
  </si>
  <si>
    <t>500</t>
  </si>
  <si>
    <t>Субсидии на частичное возмещение расходов бюджетов по предоставлению гражданам субсидий на оплату жилья и коммунальных услуг</t>
  </si>
  <si>
    <t>Непрограммные инвестиции в основные фонды</t>
  </si>
  <si>
    <t>Медвытрезвитель</t>
  </si>
  <si>
    <t>Представительские расходы</t>
  </si>
  <si>
    <t>007</t>
  </si>
  <si>
    <t>поправки 09.12.04</t>
  </si>
  <si>
    <t>поправки 16.12.04</t>
  </si>
  <si>
    <t>Высокотехнологичные виды медицинской помощи</t>
  </si>
  <si>
    <t>456</t>
  </si>
  <si>
    <t>к решению Муниципального Совета от 16.12.2004г. № 209</t>
  </si>
  <si>
    <t xml:space="preserve">к решению Муниципального Совета от 16.12.2004г. № 209 </t>
  </si>
  <si>
    <t>Периодические издания, учрежденные органами законода-тельной и исполнительной власти</t>
  </si>
  <si>
    <t>Проведение выборов в законодательные (представительные) органы власти местного самоуправления</t>
  </si>
  <si>
    <t>Проведение выборов в законодатель-ные (представительные) органы власти местного самоуправления</t>
  </si>
  <si>
    <t>097</t>
  </si>
  <si>
    <t>изменения № 2</t>
  </si>
  <si>
    <t>измен. № 1 февраль</t>
  </si>
  <si>
    <t>всего</t>
  </si>
  <si>
    <t>в т.ч. предпр.</t>
  </si>
  <si>
    <t>депут</t>
  </si>
  <si>
    <t>изменения № 3</t>
  </si>
  <si>
    <t>субвенция</t>
  </si>
  <si>
    <t>340</t>
  </si>
  <si>
    <t>Выполнение других обязательств государства</t>
  </si>
  <si>
    <t>(в редакции от 26.05.2005г. № 17)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</si>
</sst>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_р_._-;\-* #,##0.0_р_._-;_-* &quot;-&quot;?_р_._-;_-@_-"/>
    <numFmt numFmtId="173" formatCode="_-* #,##0_р_._-;\-* #,##0_р_._-;_-* &quot;-&quot;?_р_._-;_-@_-"/>
    <numFmt numFmtId="174" formatCode="0.0"/>
  </numFmts>
  <fonts count="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4" fillId="0" borderId="4" xfId="0" applyFont="1" applyBorder="1" applyAlignment="1">
      <alignment horizontal="left" vertical="center" wrapText="1"/>
    </xf>
    <xf numFmtId="49" fontId="3" fillId="0" borderId="5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41" fontId="3" fillId="0" borderId="7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49" fontId="3" fillId="0" borderId="5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0" fontId="3" fillId="0" borderId="4" xfId="0" applyFont="1" applyBorder="1" applyAlignment="1">
      <alignment vertical="center" wrapText="1"/>
    </xf>
    <xf numFmtId="49" fontId="3" fillId="0" borderId="4" xfId="0" applyNumberFormat="1" applyFont="1" applyBorder="1" applyAlignment="1">
      <alignment vertical="center" wrapText="1"/>
    </xf>
    <xf numFmtId="49" fontId="3" fillId="0" borderId="4" xfId="0" applyNumberFormat="1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 indent="1"/>
    </xf>
    <xf numFmtId="0" fontId="3" fillId="0" borderId="4" xfId="0" applyFont="1" applyFill="1" applyBorder="1" applyAlignment="1">
      <alignment vertical="center" wrapText="1"/>
    </xf>
    <xf numFmtId="41" fontId="3" fillId="0" borderId="7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vertical="center" wrapText="1"/>
    </xf>
    <xf numFmtId="0" fontId="3" fillId="0" borderId="4" xfId="0" applyFont="1" applyBorder="1" applyAlignment="1">
      <alignment horizontal="left" vertical="center" wrapText="1" indent="4"/>
    </xf>
    <xf numFmtId="49" fontId="3" fillId="0" borderId="4" xfId="0" applyNumberFormat="1" applyFont="1" applyFill="1" applyBorder="1" applyAlignment="1">
      <alignment horizontal="left" vertical="center" wrapText="1"/>
    </xf>
    <xf numFmtId="49" fontId="4" fillId="0" borderId="4" xfId="0" applyNumberFormat="1" applyFont="1" applyBorder="1" applyAlignment="1">
      <alignment horizontal="left" vertical="center" wrapText="1"/>
    </xf>
    <xf numFmtId="49" fontId="4" fillId="0" borderId="4" xfId="0" applyNumberFormat="1" applyFont="1" applyBorder="1" applyAlignment="1">
      <alignment vertical="center" wrapText="1"/>
    </xf>
    <xf numFmtId="49" fontId="4" fillId="0" borderId="8" xfId="0" applyNumberFormat="1" applyFont="1" applyBorder="1" applyAlignment="1">
      <alignment vertical="center"/>
    </xf>
    <xf numFmtId="49" fontId="4" fillId="0" borderId="9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1" fontId="4" fillId="0" borderId="11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horizontal="right"/>
    </xf>
    <xf numFmtId="49" fontId="3" fillId="0" borderId="12" xfId="0" applyNumberFormat="1" applyFont="1" applyBorder="1" applyAlignment="1">
      <alignment horizontal="center" vertical="center"/>
    </xf>
    <xf numFmtId="41" fontId="3" fillId="0" borderId="13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49" fontId="3" fillId="0" borderId="0" xfId="0" applyNumberFormat="1" applyFont="1" applyAlignment="1">
      <alignment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right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/>
    </xf>
    <xf numFmtId="49" fontId="4" fillId="0" borderId="18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41" fontId="3" fillId="0" borderId="0" xfId="0" applyNumberFormat="1" applyFont="1" applyAlignment="1">
      <alignment horizontal="center" vertical="center"/>
    </xf>
    <xf numFmtId="41" fontId="3" fillId="0" borderId="0" xfId="0" applyNumberFormat="1" applyFont="1" applyAlignment="1">
      <alignment horizontal="center" vertical="center" wrapText="1"/>
    </xf>
    <xf numFmtId="41" fontId="6" fillId="0" borderId="11" xfId="0" applyNumberFormat="1" applyFont="1" applyFill="1" applyBorder="1" applyAlignment="1">
      <alignment horizontal="center" vertical="center"/>
    </xf>
    <xf numFmtId="41" fontId="3" fillId="0" borderId="19" xfId="0" applyNumberFormat="1" applyFont="1" applyFill="1" applyBorder="1" applyAlignment="1">
      <alignment horizontal="center" vertical="center"/>
    </xf>
    <xf numFmtId="41" fontId="3" fillId="0" borderId="7" xfId="0" applyNumberFormat="1" applyFont="1" applyBorder="1" applyAlignment="1">
      <alignment horizontal="left" vertical="center"/>
    </xf>
    <xf numFmtId="41" fontId="3" fillId="0" borderId="0" xfId="0" applyNumberFormat="1" applyFont="1" applyBorder="1" applyAlignment="1">
      <alignment horizontal="center" vertical="center" wrapText="1"/>
    </xf>
    <xf numFmtId="41" fontId="6" fillId="0" borderId="0" xfId="0" applyNumberFormat="1" applyFont="1" applyFill="1" applyBorder="1" applyAlignment="1">
      <alignment horizontal="center" vertical="center"/>
    </xf>
    <xf numFmtId="41" fontId="3" fillId="0" borderId="0" xfId="0" applyNumberFormat="1" applyFont="1" applyFill="1" applyBorder="1" applyAlignment="1">
      <alignment horizontal="center" vertical="center"/>
    </xf>
    <xf numFmtId="41" fontId="3" fillId="0" borderId="0" xfId="0" applyNumberFormat="1" applyFont="1" applyBorder="1" applyAlignment="1">
      <alignment horizontal="center" vertical="center"/>
    </xf>
    <xf numFmtId="41" fontId="5" fillId="0" borderId="0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/>
    </xf>
    <xf numFmtId="1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left" vertical="top" wrapText="1"/>
    </xf>
    <xf numFmtId="49" fontId="3" fillId="0" borderId="11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top" wrapText="1"/>
    </xf>
    <xf numFmtId="41" fontId="3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3" fillId="0" borderId="0" xfId="0" applyFont="1" applyAlignment="1">
      <alignment wrapText="1"/>
    </xf>
    <xf numFmtId="1" fontId="3" fillId="0" borderId="7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/>
    </xf>
    <xf numFmtId="0" fontId="5" fillId="0" borderId="0" xfId="0" applyFont="1" applyAlignment="1">
      <alignment/>
    </xf>
    <xf numFmtId="41" fontId="3" fillId="0" borderId="0" xfId="0" applyNumberFormat="1" applyFont="1" applyAlignment="1">
      <alignment/>
    </xf>
    <xf numFmtId="41" fontId="3" fillId="0" borderId="22" xfId="0" applyNumberFormat="1" applyFont="1" applyBorder="1" applyAlignment="1">
      <alignment horizontal="center" vertical="center" wrapText="1"/>
    </xf>
    <xf numFmtId="41" fontId="3" fillId="0" borderId="23" xfId="0" applyNumberFormat="1" applyFont="1" applyBorder="1" applyAlignment="1">
      <alignment horizontal="center" vertical="center" wrapText="1"/>
    </xf>
    <xf numFmtId="41" fontId="3" fillId="0" borderId="2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3" fillId="0" borderId="29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41" fontId="3" fillId="0" borderId="11" xfId="0" applyNumberFormat="1" applyFont="1" applyBorder="1" applyAlignment="1">
      <alignment horizontal="center" vertical="center" wrapText="1"/>
    </xf>
    <xf numFmtId="41" fontId="3" fillId="0" borderId="31" xfId="0" applyNumberFormat="1" applyFont="1" applyBorder="1" applyAlignment="1">
      <alignment horizontal="center" vertical="center" wrapText="1"/>
    </xf>
    <xf numFmtId="41" fontId="3" fillId="0" borderId="32" xfId="0" applyNumberFormat="1" applyFont="1" applyBorder="1" applyAlignment="1">
      <alignment horizontal="center" vertical="center" wrapText="1"/>
    </xf>
    <xf numFmtId="41" fontId="3" fillId="0" borderId="14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3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left" vertical="top" wrapText="1"/>
    </xf>
    <xf numFmtId="0" fontId="3" fillId="0" borderId="3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G83"/>
  <sheetViews>
    <sheetView tabSelected="1" view="pageBreakPreview" zoomScale="60" workbookViewId="0" topLeftCell="A5">
      <selection activeCell="D14" sqref="D14"/>
    </sheetView>
  </sheetViews>
  <sheetFormatPr defaultColWidth="9.00390625" defaultRowHeight="12.75"/>
  <cols>
    <col min="1" max="1" width="50.875" style="1" customWidth="1"/>
    <col min="2" max="2" width="5.25390625" style="1" customWidth="1"/>
    <col min="3" max="3" width="5.375" style="1" customWidth="1"/>
    <col min="4" max="4" width="13.75390625" style="1" customWidth="1"/>
    <col min="5" max="5" width="13.25390625" style="1" customWidth="1"/>
    <col min="6" max="16384" width="9.125" style="1" customWidth="1"/>
  </cols>
  <sheetData>
    <row r="1" ht="15.75" hidden="1"/>
    <row r="2" ht="15.75" hidden="1"/>
    <row r="3" ht="15.75" hidden="1"/>
    <row r="4" ht="15.75" hidden="1"/>
    <row r="7" spans="3:5" ht="15.75">
      <c r="C7" s="94" t="s">
        <v>261</v>
      </c>
      <c r="D7" s="94"/>
      <c r="E7" s="94"/>
    </row>
    <row r="8" spans="1:7" ht="15.75">
      <c r="A8" s="93" t="s">
        <v>303</v>
      </c>
      <c r="B8" s="93"/>
      <c r="C8" s="93"/>
      <c r="D8" s="93"/>
      <c r="E8" s="93"/>
      <c r="F8" s="59"/>
      <c r="G8" s="59"/>
    </row>
    <row r="9" spans="1:7" ht="15.75">
      <c r="A9" s="93" t="s">
        <v>318</v>
      </c>
      <c r="B9" s="93"/>
      <c r="C9" s="93"/>
      <c r="D9" s="93"/>
      <c r="E9" s="93"/>
      <c r="F9" s="59"/>
      <c r="G9" s="59"/>
    </row>
    <row r="10" spans="1:5" ht="15.75">
      <c r="A10" s="38"/>
      <c r="B10" s="38"/>
      <c r="C10" s="38"/>
      <c r="D10" s="38"/>
      <c r="E10" s="38"/>
    </row>
    <row r="11" spans="1:5" ht="34.5" customHeight="1">
      <c r="A11" s="95" t="s">
        <v>258</v>
      </c>
      <c r="B11" s="95"/>
      <c r="C11" s="95"/>
      <c r="D11" s="95"/>
      <c r="E11" s="95"/>
    </row>
    <row r="13" spans="1:5" ht="25.5" customHeight="1">
      <c r="A13" s="102" t="s">
        <v>32</v>
      </c>
      <c r="B13" s="100" t="s">
        <v>33</v>
      </c>
      <c r="C13" s="98" t="s">
        <v>34</v>
      </c>
      <c r="D13" s="96" t="s">
        <v>159</v>
      </c>
      <c r="E13" s="97"/>
    </row>
    <row r="14" spans="1:5" ht="108.75" customHeight="1">
      <c r="A14" s="103"/>
      <c r="B14" s="101"/>
      <c r="C14" s="99"/>
      <c r="D14" s="40" t="s">
        <v>153</v>
      </c>
      <c r="E14" s="56" t="s">
        <v>152</v>
      </c>
    </row>
    <row r="15" spans="1:5" s="51" customFormat="1" ht="11.25">
      <c r="A15" s="41">
        <v>1</v>
      </c>
      <c r="B15" s="42">
        <v>2</v>
      </c>
      <c r="C15" s="52">
        <v>3</v>
      </c>
      <c r="D15" s="55">
        <v>4</v>
      </c>
      <c r="E15" s="43">
        <v>5</v>
      </c>
    </row>
    <row r="16" spans="1:5" ht="15.75">
      <c r="A16" s="6"/>
      <c r="B16" s="7"/>
      <c r="C16" s="8"/>
      <c r="D16" s="57"/>
      <c r="E16" s="57"/>
    </row>
    <row r="17" spans="1:5" ht="15.75" customHeight="1">
      <c r="A17" s="45" t="s">
        <v>35</v>
      </c>
      <c r="B17" s="10" t="s">
        <v>37</v>
      </c>
      <c r="C17" s="11"/>
      <c r="D17" s="12">
        <f>SUM(D18:D26)</f>
        <v>126522</v>
      </c>
      <c r="E17" s="12">
        <f>SUM(E18:E26)</f>
        <v>46</v>
      </c>
    </row>
    <row r="18" spans="1:5" ht="31.5">
      <c r="A18" s="13" t="s">
        <v>36</v>
      </c>
      <c r="B18" s="10" t="s">
        <v>37</v>
      </c>
      <c r="C18" s="11" t="s">
        <v>38</v>
      </c>
      <c r="D18" s="12">
        <f>виды!F19</f>
        <v>993</v>
      </c>
      <c r="E18" s="12">
        <f>виды!G19</f>
        <v>0</v>
      </c>
    </row>
    <row r="19" spans="1:5" ht="47.25">
      <c r="A19" s="13" t="s">
        <v>39</v>
      </c>
      <c r="B19" s="10" t="s">
        <v>37</v>
      </c>
      <c r="C19" s="11" t="s">
        <v>40</v>
      </c>
      <c r="D19" s="12">
        <f>виды!F23</f>
        <v>10893</v>
      </c>
      <c r="E19" s="12">
        <f>виды!G23</f>
        <v>0</v>
      </c>
    </row>
    <row r="20" spans="1:5" ht="47.25">
      <c r="A20" s="13" t="s">
        <v>16</v>
      </c>
      <c r="B20" s="10" t="s">
        <v>37</v>
      </c>
      <c r="C20" s="11" t="s">
        <v>57</v>
      </c>
      <c r="D20" s="12">
        <f>виды!F29</f>
        <v>54929</v>
      </c>
      <c r="E20" s="12">
        <f>виды!G29</f>
        <v>20</v>
      </c>
    </row>
    <row r="21" spans="1:5" ht="31.5" customHeight="1">
      <c r="A21" s="13" t="s">
        <v>19</v>
      </c>
      <c r="B21" s="10" t="s">
        <v>37</v>
      </c>
      <c r="C21" s="11" t="s">
        <v>59</v>
      </c>
      <c r="D21" s="12">
        <f>виды!F34</f>
        <v>8736</v>
      </c>
      <c r="E21" s="12">
        <f>виды!G34</f>
        <v>0</v>
      </c>
    </row>
    <row r="22" spans="1:5" ht="15.75" customHeight="1">
      <c r="A22" s="13" t="s">
        <v>42</v>
      </c>
      <c r="B22" s="10" t="s">
        <v>37</v>
      </c>
      <c r="C22" s="11" t="s">
        <v>43</v>
      </c>
      <c r="D22" s="12">
        <f>виды!F38</f>
        <v>1242</v>
      </c>
      <c r="E22" s="12">
        <f>виды!G38</f>
        <v>0</v>
      </c>
    </row>
    <row r="23" spans="1:5" ht="30.75" customHeight="1">
      <c r="A23" s="13" t="s">
        <v>44</v>
      </c>
      <c r="B23" s="10" t="s">
        <v>37</v>
      </c>
      <c r="C23" s="11" t="s">
        <v>45</v>
      </c>
      <c r="D23" s="12">
        <f>виды!F43</f>
        <v>24626</v>
      </c>
      <c r="E23" s="12">
        <f>виды!G43</f>
        <v>0</v>
      </c>
    </row>
    <row r="24" spans="1:5" ht="15.75" customHeight="1">
      <c r="A24" s="13" t="s">
        <v>46</v>
      </c>
      <c r="B24" s="10" t="s">
        <v>37</v>
      </c>
      <c r="C24" s="11" t="s">
        <v>47</v>
      </c>
      <c r="D24" s="12">
        <f>виды!F47</f>
        <v>3385</v>
      </c>
      <c r="E24" s="12">
        <f>виды!G47</f>
        <v>0</v>
      </c>
    </row>
    <row r="25" spans="1:5" ht="15.75" customHeight="1">
      <c r="A25" s="13" t="s">
        <v>48</v>
      </c>
      <c r="B25" s="10" t="s">
        <v>37</v>
      </c>
      <c r="C25" s="11" t="s">
        <v>49</v>
      </c>
      <c r="D25" s="12">
        <f>виды!F51</f>
        <v>21718</v>
      </c>
      <c r="E25" s="12">
        <f>виды!G51</f>
        <v>26</v>
      </c>
    </row>
    <row r="26" spans="1:5" ht="15.75">
      <c r="A26" s="13"/>
      <c r="B26" s="10"/>
      <c r="C26" s="11"/>
      <c r="D26" s="12"/>
      <c r="E26" s="12"/>
    </row>
    <row r="27" spans="1:5" ht="31.5">
      <c r="A27" s="9" t="s">
        <v>50</v>
      </c>
      <c r="B27" s="10" t="s">
        <v>40</v>
      </c>
      <c r="C27" s="11"/>
      <c r="D27" s="12">
        <f>D28+D29+D30</f>
        <v>10266</v>
      </c>
      <c r="E27" s="12">
        <f>SUM(E28:E30)</f>
        <v>0</v>
      </c>
    </row>
    <row r="28" spans="1:5" ht="15.75" customHeight="1">
      <c r="A28" s="13" t="s">
        <v>51</v>
      </c>
      <c r="B28" s="10" t="s">
        <v>40</v>
      </c>
      <c r="C28" s="11" t="s">
        <v>38</v>
      </c>
      <c r="D28" s="12">
        <f>виды!F60</f>
        <v>5900</v>
      </c>
      <c r="E28" s="12">
        <f>виды!G60</f>
        <v>0</v>
      </c>
    </row>
    <row r="29" spans="1:5" ht="47.25">
      <c r="A29" s="13" t="s">
        <v>52</v>
      </c>
      <c r="B29" s="10" t="s">
        <v>40</v>
      </c>
      <c r="C29" s="11" t="s">
        <v>53</v>
      </c>
      <c r="D29" s="12">
        <f>виды!F64</f>
        <v>4176</v>
      </c>
      <c r="E29" s="12">
        <f>виды!G64</f>
        <v>0</v>
      </c>
    </row>
    <row r="30" spans="1:5" ht="15.75" customHeight="1">
      <c r="A30" s="13" t="s">
        <v>54</v>
      </c>
      <c r="B30" s="10" t="s">
        <v>40</v>
      </c>
      <c r="C30" s="11" t="s">
        <v>55</v>
      </c>
      <c r="D30" s="12">
        <f>виды!F68</f>
        <v>190</v>
      </c>
      <c r="E30" s="12">
        <f>виды!G68</f>
        <v>0</v>
      </c>
    </row>
    <row r="31" spans="1:5" ht="15.75">
      <c r="A31" s="46"/>
      <c r="B31" s="10"/>
      <c r="C31" s="11"/>
      <c r="D31" s="12"/>
      <c r="E31" s="12"/>
    </row>
    <row r="32" spans="1:5" ht="15" customHeight="1">
      <c r="A32" s="9" t="s">
        <v>56</v>
      </c>
      <c r="B32" s="10" t="s">
        <v>57</v>
      </c>
      <c r="C32" s="11"/>
      <c r="D32" s="12">
        <f>SUM(D33:D35)</f>
        <v>15205</v>
      </c>
      <c r="E32" s="12">
        <f>SUM(E33:E35)</f>
        <v>315</v>
      </c>
    </row>
    <row r="33" spans="1:5" ht="15.75" customHeight="1">
      <c r="A33" s="13" t="s">
        <v>58</v>
      </c>
      <c r="B33" s="10" t="s">
        <v>57</v>
      </c>
      <c r="C33" s="11" t="s">
        <v>38</v>
      </c>
      <c r="D33" s="12">
        <f>виды!F73</f>
        <v>311</v>
      </c>
      <c r="E33" s="12">
        <f>виды!G73</f>
        <v>0</v>
      </c>
    </row>
    <row r="34" spans="1:5" ht="15.75" customHeight="1">
      <c r="A34" s="13" t="s">
        <v>60</v>
      </c>
      <c r="B34" s="10" t="s">
        <v>57</v>
      </c>
      <c r="C34" s="11" t="s">
        <v>61</v>
      </c>
      <c r="D34" s="12">
        <f>виды!F77</f>
        <v>2760</v>
      </c>
      <c r="E34" s="12">
        <f>виды!G77</f>
        <v>0</v>
      </c>
    </row>
    <row r="35" spans="1:5" ht="15.75" customHeight="1">
      <c r="A35" s="13" t="s">
        <v>62</v>
      </c>
      <c r="B35" s="10" t="s">
        <v>57</v>
      </c>
      <c r="C35" s="11" t="s">
        <v>63</v>
      </c>
      <c r="D35" s="12">
        <f>виды!F84</f>
        <v>12134</v>
      </c>
      <c r="E35" s="12">
        <f>виды!G84</f>
        <v>315</v>
      </c>
    </row>
    <row r="36" spans="1:5" ht="15.75">
      <c r="A36" s="13"/>
      <c r="B36" s="10"/>
      <c r="C36" s="11"/>
      <c r="D36" s="12"/>
      <c r="E36" s="12"/>
    </row>
    <row r="37" spans="1:5" ht="15" customHeight="1">
      <c r="A37" s="9" t="s">
        <v>64</v>
      </c>
      <c r="B37" s="10" t="s">
        <v>41</v>
      </c>
      <c r="C37" s="11"/>
      <c r="D37" s="12">
        <f>SUM(D38:D40)</f>
        <v>216359</v>
      </c>
      <c r="E37" s="12">
        <f>SUM(E38:E40)</f>
        <v>0</v>
      </c>
    </row>
    <row r="38" spans="1:5" ht="15" customHeight="1">
      <c r="A38" s="13" t="s">
        <v>203</v>
      </c>
      <c r="B38" s="10" t="s">
        <v>41</v>
      </c>
      <c r="C38" s="10" t="s">
        <v>37</v>
      </c>
      <c r="D38" s="12">
        <f>виды!F99</f>
        <v>48465</v>
      </c>
      <c r="E38" s="12">
        <f>виды!G99</f>
        <v>0</v>
      </c>
    </row>
    <row r="39" spans="1:5" ht="15.75" customHeight="1">
      <c r="A39" s="13" t="s">
        <v>10</v>
      </c>
      <c r="B39" s="10" t="s">
        <v>41</v>
      </c>
      <c r="C39" s="11" t="s">
        <v>38</v>
      </c>
      <c r="D39" s="12">
        <f>виды!F103</f>
        <v>164218</v>
      </c>
      <c r="E39" s="12">
        <f>виды!G103</f>
        <v>0</v>
      </c>
    </row>
    <row r="40" spans="1:5" ht="31.5">
      <c r="A40" s="13" t="s">
        <v>17</v>
      </c>
      <c r="B40" s="10" t="s">
        <v>41</v>
      </c>
      <c r="C40" s="11" t="s">
        <v>57</v>
      </c>
      <c r="D40" s="12">
        <f>виды!F111</f>
        <v>3676</v>
      </c>
      <c r="E40" s="12">
        <f>виды!G111</f>
        <v>0</v>
      </c>
    </row>
    <row r="41" spans="1:5" ht="15.75">
      <c r="A41" s="13"/>
      <c r="B41" s="10"/>
      <c r="C41" s="11"/>
      <c r="D41" s="12"/>
      <c r="E41" s="12"/>
    </row>
    <row r="42" spans="1:5" ht="14.25" customHeight="1">
      <c r="A42" s="9" t="s">
        <v>65</v>
      </c>
      <c r="B42" s="10" t="s">
        <v>43</v>
      </c>
      <c r="C42" s="11"/>
      <c r="D42" s="12">
        <f>SUM(D43:D46)</f>
        <v>856476</v>
      </c>
      <c r="E42" s="12">
        <f>SUM(E43:E46)</f>
        <v>50612</v>
      </c>
    </row>
    <row r="43" spans="1:5" ht="14.25" customHeight="1">
      <c r="A43" s="13" t="s">
        <v>167</v>
      </c>
      <c r="B43" s="10" t="s">
        <v>43</v>
      </c>
      <c r="C43" s="10" t="s">
        <v>37</v>
      </c>
      <c r="D43" s="12">
        <f>виды!F118</f>
        <v>312028</v>
      </c>
      <c r="E43" s="12">
        <f>виды!G118</f>
        <v>32698</v>
      </c>
    </row>
    <row r="44" spans="1:5" ht="15.75" customHeight="1">
      <c r="A44" s="13" t="s">
        <v>66</v>
      </c>
      <c r="B44" s="10" t="s">
        <v>43</v>
      </c>
      <c r="C44" s="11" t="s">
        <v>38</v>
      </c>
      <c r="D44" s="12">
        <f>виды!F124</f>
        <v>509617</v>
      </c>
      <c r="E44" s="12">
        <f>виды!G124</f>
        <v>15721</v>
      </c>
    </row>
    <row r="45" spans="1:5" ht="15.75" customHeight="1">
      <c r="A45" s="13" t="s">
        <v>168</v>
      </c>
      <c r="B45" s="10" t="s">
        <v>43</v>
      </c>
      <c r="C45" s="10" t="s">
        <v>43</v>
      </c>
      <c r="D45" s="12">
        <f>виды!F134</f>
        <v>3480</v>
      </c>
      <c r="E45" s="12">
        <f>виды!G134</f>
        <v>2000</v>
      </c>
    </row>
    <row r="46" spans="1:5" ht="15.75" customHeight="1">
      <c r="A46" s="13" t="s">
        <v>67</v>
      </c>
      <c r="B46" s="10" t="s">
        <v>43</v>
      </c>
      <c r="C46" s="11" t="s">
        <v>53</v>
      </c>
      <c r="D46" s="12">
        <f>виды!F140</f>
        <v>31351</v>
      </c>
      <c r="E46" s="12">
        <f>виды!G140</f>
        <v>193</v>
      </c>
    </row>
    <row r="47" spans="1:5" ht="15.75">
      <c r="A47" s="13"/>
      <c r="B47" s="10"/>
      <c r="C47" s="11"/>
      <c r="D47" s="12"/>
      <c r="E47" s="12"/>
    </row>
    <row r="48" spans="1:5" ht="31.5">
      <c r="A48" s="9" t="s">
        <v>145</v>
      </c>
      <c r="B48" s="10" t="s">
        <v>61</v>
      </c>
      <c r="C48" s="11"/>
      <c r="D48" s="12">
        <f>SUM(D49:D53)</f>
        <v>38618</v>
      </c>
      <c r="E48" s="12">
        <f>SUM(E49:E53)</f>
        <v>5281</v>
      </c>
    </row>
    <row r="49" spans="1:5" ht="15.75" customHeight="1">
      <c r="A49" s="13" t="s">
        <v>68</v>
      </c>
      <c r="B49" s="10" t="s">
        <v>61</v>
      </c>
      <c r="C49" s="11" t="s">
        <v>37</v>
      </c>
      <c r="D49" s="12">
        <f>виды!F148</f>
        <v>30964</v>
      </c>
      <c r="E49" s="12">
        <f>виды!G148</f>
        <v>5281</v>
      </c>
    </row>
    <row r="50" spans="1:5" ht="15.75" customHeight="1">
      <c r="A50" s="13" t="s">
        <v>93</v>
      </c>
      <c r="B50" s="10" t="s">
        <v>61</v>
      </c>
      <c r="C50" s="11" t="s">
        <v>38</v>
      </c>
      <c r="D50" s="12">
        <f>виды!F160</f>
        <v>450</v>
      </c>
      <c r="E50" s="12">
        <f>виды!G160</f>
        <v>0</v>
      </c>
    </row>
    <row r="51" spans="1:5" ht="15.75" customHeight="1">
      <c r="A51" s="13" t="s">
        <v>226</v>
      </c>
      <c r="B51" s="10" t="s">
        <v>61</v>
      </c>
      <c r="C51" s="10" t="s">
        <v>40</v>
      </c>
      <c r="D51" s="12">
        <f>виды!F164</f>
        <v>2300</v>
      </c>
      <c r="E51" s="12">
        <f>виды!G164</f>
        <v>0</v>
      </c>
    </row>
    <row r="52" spans="1:5" ht="15.75" customHeight="1">
      <c r="A52" s="13" t="s">
        <v>69</v>
      </c>
      <c r="B52" s="10" t="s">
        <v>61</v>
      </c>
      <c r="C52" s="11" t="s">
        <v>57</v>
      </c>
      <c r="D52" s="12">
        <f>виды!F168</f>
        <v>810</v>
      </c>
      <c r="E52" s="12">
        <f>виды!G168</f>
        <v>0</v>
      </c>
    </row>
    <row r="53" spans="1:5" ht="28.5" customHeight="1">
      <c r="A53" s="13" t="s">
        <v>146</v>
      </c>
      <c r="B53" s="10" t="s">
        <v>61</v>
      </c>
      <c r="C53" s="11" t="s">
        <v>59</v>
      </c>
      <c r="D53" s="12">
        <f>виды!F174</f>
        <v>4094</v>
      </c>
      <c r="E53" s="12">
        <f>виды!G174</f>
        <v>0</v>
      </c>
    </row>
    <row r="54" spans="1:5" ht="15.75">
      <c r="A54" s="46"/>
      <c r="B54" s="10"/>
      <c r="C54" s="11"/>
      <c r="D54" s="12"/>
      <c r="E54" s="12"/>
    </row>
    <row r="55" spans="1:5" ht="15.75" customHeight="1">
      <c r="A55" s="9" t="s">
        <v>70</v>
      </c>
      <c r="B55" s="10" t="s">
        <v>53</v>
      </c>
      <c r="C55" s="11"/>
      <c r="D55" s="12">
        <f>SUM(D56:D58)</f>
        <v>375934</v>
      </c>
      <c r="E55" s="12">
        <f>SUM(E56:E58)</f>
        <v>75483</v>
      </c>
    </row>
    <row r="56" spans="1:5" ht="15.75" customHeight="1">
      <c r="A56" s="13" t="s">
        <v>71</v>
      </c>
      <c r="B56" s="10" t="s">
        <v>53</v>
      </c>
      <c r="C56" s="11" t="s">
        <v>37</v>
      </c>
      <c r="D56" s="12">
        <f>виды!F181</f>
        <v>364802</v>
      </c>
      <c r="E56" s="12">
        <f>виды!G181</f>
        <v>75483</v>
      </c>
    </row>
    <row r="57" spans="1:5" ht="15.75" customHeight="1">
      <c r="A57" s="13" t="s">
        <v>72</v>
      </c>
      <c r="B57" s="10" t="s">
        <v>53</v>
      </c>
      <c r="C57" s="11" t="s">
        <v>38</v>
      </c>
      <c r="D57" s="12">
        <f>виды!F194</f>
        <v>2517</v>
      </c>
      <c r="E57" s="12">
        <f>виды!G194</f>
        <v>0</v>
      </c>
    </row>
    <row r="58" spans="1:5" ht="15.75" customHeight="1">
      <c r="A58" s="13" t="s">
        <v>73</v>
      </c>
      <c r="B58" s="10" t="s">
        <v>53</v>
      </c>
      <c r="C58" s="11" t="s">
        <v>57</v>
      </c>
      <c r="D58" s="12">
        <f>виды!F199</f>
        <v>8615</v>
      </c>
      <c r="E58" s="12">
        <f>виды!G199</f>
        <v>0</v>
      </c>
    </row>
    <row r="59" spans="1:5" ht="15.75">
      <c r="A59" s="46"/>
      <c r="B59" s="10"/>
      <c r="C59" s="11"/>
      <c r="D59" s="12"/>
      <c r="E59" s="12"/>
    </row>
    <row r="60" spans="1:5" ht="14.25" customHeight="1">
      <c r="A60" s="9" t="s">
        <v>78</v>
      </c>
      <c r="B60" s="10" t="s">
        <v>55</v>
      </c>
      <c r="C60" s="11"/>
      <c r="D60" s="12">
        <f>D61+D62+D63</f>
        <v>51822</v>
      </c>
      <c r="E60" s="12">
        <f>SUM(E61:E63)</f>
        <v>0</v>
      </c>
    </row>
    <row r="61" spans="1:5" ht="14.25" customHeight="1">
      <c r="A61" s="21" t="s">
        <v>207</v>
      </c>
      <c r="B61" s="15" t="s">
        <v>55</v>
      </c>
      <c r="C61" s="10" t="s">
        <v>37</v>
      </c>
      <c r="D61" s="12">
        <f>виды!F204</f>
        <v>3460</v>
      </c>
      <c r="E61" s="12">
        <f>виды!G204</f>
        <v>0</v>
      </c>
    </row>
    <row r="62" spans="1:5" ht="15.75" customHeight="1">
      <c r="A62" s="21" t="s">
        <v>235</v>
      </c>
      <c r="B62" s="15" t="s">
        <v>55</v>
      </c>
      <c r="C62" s="10" t="s">
        <v>38</v>
      </c>
      <c r="D62" s="12">
        <f>виды!F208</f>
        <v>4212</v>
      </c>
      <c r="E62" s="12">
        <f>виды!G208</f>
        <v>0</v>
      </c>
    </row>
    <row r="63" spans="1:5" ht="15.75" customHeight="1">
      <c r="A63" s="13" t="s">
        <v>79</v>
      </c>
      <c r="B63" s="10" t="s">
        <v>55</v>
      </c>
      <c r="C63" s="11" t="s">
        <v>59</v>
      </c>
      <c r="D63" s="12">
        <f>виды!F212</f>
        <v>44150</v>
      </c>
      <c r="E63" s="12">
        <f>виды!G212</f>
        <v>0</v>
      </c>
    </row>
    <row r="64" spans="1:5" ht="15.75">
      <c r="A64" s="46"/>
      <c r="B64" s="10"/>
      <c r="C64" s="11"/>
      <c r="D64" s="12"/>
      <c r="E64" s="12"/>
    </row>
    <row r="65" spans="1:5" ht="25.5" customHeight="1">
      <c r="A65" s="28" t="s">
        <v>158</v>
      </c>
      <c r="B65" s="29"/>
      <c r="C65" s="58"/>
      <c r="D65" s="31">
        <f>D17+D27+D32+D37+D42+D48+D55+D60</f>
        <v>1691202</v>
      </c>
      <c r="E65" s="31">
        <f>E17+E27+E32+E37+E42+E48+E55+E60</f>
        <v>131737</v>
      </c>
    </row>
    <row r="66" spans="2:3" ht="15.75">
      <c r="B66" s="47"/>
      <c r="C66" s="47"/>
    </row>
    <row r="67" spans="2:3" ht="15.75">
      <c r="B67" s="47"/>
      <c r="C67" s="47"/>
    </row>
    <row r="68" spans="2:3" ht="15.75">
      <c r="B68" s="47"/>
      <c r="C68" s="47"/>
    </row>
    <row r="69" spans="2:3" ht="15.75">
      <c r="B69" s="47"/>
      <c r="C69" s="47"/>
    </row>
    <row r="70" spans="2:3" ht="15.75">
      <c r="B70" s="47"/>
      <c r="C70" s="47"/>
    </row>
    <row r="71" spans="2:3" ht="15.75">
      <c r="B71" s="47"/>
      <c r="C71" s="47"/>
    </row>
    <row r="72" spans="2:3" ht="15.75">
      <c r="B72" s="47"/>
      <c r="C72" s="47"/>
    </row>
    <row r="73" spans="2:3" ht="15.75">
      <c r="B73" s="47"/>
      <c r="C73" s="47"/>
    </row>
    <row r="74" spans="2:3" ht="15.75">
      <c r="B74" s="47"/>
      <c r="C74" s="47"/>
    </row>
    <row r="75" spans="2:3" ht="15.75">
      <c r="B75" s="47"/>
      <c r="C75" s="47"/>
    </row>
    <row r="76" spans="2:3" ht="15.75">
      <c r="B76" s="47"/>
      <c r="C76" s="47"/>
    </row>
    <row r="77" spans="2:3" ht="15.75">
      <c r="B77" s="47"/>
      <c r="C77" s="47"/>
    </row>
    <row r="78" spans="2:3" ht="15.75">
      <c r="B78" s="47"/>
      <c r="C78" s="47"/>
    </row>
    <row r="79" spans="2:3" ht="15.75">
      <c r="B79" s="47"/>
      <c r="C79" s="47"/>
    </row>
    <row r="80" spans="2:3" ht="15.75">
      <c r="B80" s="47"/>
      <c r="C80" s="47"/>
    </row>
    <row r="81" spans="2:3" ht="15.75">
      <c r="B81" s="47"/>
      <c r="C81" s="47"/>
    </row>
    <row r="82" spans="2:3" ht="15.75">
      <c r="B82" s="47"/>
      <c r="C82" s="47"/>
    </row>
    <row r="83" spans="2:3" ht="15.75">
      <c r="B83" s="47"/>
      <c r="C83" s="47"/>
    </row>
  </sheetData>
  <sheetProtection password="CF7A" sheet="1" objects="1" scenarios="1"/>
  <mergeCells count="8">
    <mergeCell ref="D13:E13"/>
    <mergeCell ref="C13:C14"/>
    <mergeCell ref="B13:B14"/>
    <mergeCell ref="A13:A14"/>
    <mergeCell ref="A8:E8"/>
    <mergeCell ref="C7:E7"/>
    <mergeCell ref="A9:E9"/>
    <mergeCell ref="A11:E11"/>
  </mergeCells>
  <printOptions/>
  <pageMargins left="1.1811023622047245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&amp;R&amp;P</oddFooter>
  </headerFooter>
  <rowBreaks count="6" manualBreakCount="6">
    <brk id="1" max="4" man="1"/>
    <brk id="2" max="4" man="1"/>
    <brk id="3" max="4" man="1"/>
    <brk id="5" max="4" man="1"/>
    <brk id="6" max="4" man="1"/>
    <brk id="36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8:H238"/>
  <sheetViews>
    <sheetView view="pageBreakPreview" zoomScaleSheetLayoutView="100" workbookViewId="0" topLeftCell="A13">
      <selection activeCell="D13" sqref="D13"/>
    </sheetView>
  </sheetViews>
  <sheetFormatPr defaultColWidth="9.00390625" defaultRowHeight="12.75"/>
  <cols>
    <col min="1" max="1" width="43.875" style="1" customWidth="1"/>
    <col min="2" max="2" width="4.625" style="1" customWidth="1"/>
    <col min="3" max="3" width="4.75390625" style="1" customWidth="1"/>
    <col min="4" max="4" width="8.625" style="1" customWidth="1"/>
    <col min="5" max="5" width="4.875" style="1" customWidth="1"/>
    <col min="6" max="6" width="13.00390625" style="1" customWidth="1"/>
    <col min="7" max="7" width="11.875" style="1" customWidth="1"/>
    <col min="8" max="16384" width="9.125" style="1" customWidth="1"/>
  </cols>
  <sheetData>
    <row r="1" ht="15.75" hidden="1"/>
    <row r="2" ht="15.75" hidden="1"/>
    <row r="3" ht="15.75" hidden="1"/>
    <row r="4" ht="15.75" hidden="1"/>
    <row r="5" ht="15.75" hidden="1"/>
    <row r="6" ht="15.75" hidden="1"/>
    <row r="8" spans="5:7" ht="15.75">
      <c r="E8" s="94" t="s">
        <v>148</v>
      </c>
      <c r="F8" s="94"/>
      <c r="G8" s="94"/>
    </row>
    <row r="9" spans="1:8" ht="15.75">
      <c r="A9" s="93" t="s">
        <v>303</v>
      </c>
      <c r="B9" s="93"/>
      <c r="C9" s="93"/>
      <c r="D9" s="93"/>
      <c r="E9" s="93"/>
      <c r="F9" s="93"/>
      <c r="G9" s="93"/>
      <c r="H9" s="59"/>
    </row>
    <row r="10" spans="1:8" ht="15.75">
      <c r="A10" s="93" t="s">
        <v>318</v>
      </c>
      <c r="B10" s="93"/>
      <c r="C10" s="93"/>
      <c r="D10" s="93"/>
      <c r="E10" s="93"/>
      <c r="F10" s="93"/>
      <c r="G10" s="93"/>
      <c r="H10" s="59"/>
    </row>
    <row r="11" spans="1:7" ht="15.75">
      <c r="A11" s="38"/>
      <c r="B11" s="38"/>
      <c r="C11" s="38"/>
      <c r="D11" s="38"/>
      <c r="E11" s="38"/>
      <c r="F11" s="38"/>
      <c r="G11" s="38"/>
    </row>
    <row r="12" spans="1:7" ht="47.25" customHeight="1">
      <c r="A12" s="95" t="s">
        <v>259</v>
      </c>
      <c r="B12" s="95"/>
      <c r="C12" s="95"/>
      <c r="D12" s="95"/>
      <c r="E12" s="95"/>
      <c r="F12" s="95"/>
      <c r="G12" s="95"/>
    </row>
    <row r="14" spans="1:7" ht="15.75">
      <c r="A14" s="102" t="s">
        <v>32</v>
      </c>
      <c r="B14" s="100" t="s">
        <v>33</v>
      </c>
      <c r="C14" s="100" t="s">
        <v>34</v>
      </c>
      <c r="D14" s="100" t="s">
        <v>0</v>
      </c>
      <c r="E14" s="98" t="s">
        <v>150</v>
      </c>
      <c r="F14" s="96" t="s">
        <v>159</v>
      </c>
      <c r="G14" s="97"/>
    </row>
    <row r="15" spans="1:7" ht="110.25">
      <c r="A15" s="103"/>
      <c r="B15" s="101"/>
      <c r="C15" s="101"/>
      <c r="D15" s="101"/>
      <c r="E15" s="99"/>
      <c r="F15" s="37" t="s">
        <v>153</v>
      </c>
      <c r="G15" s="44" t="s">
        <v>151</v>
      </c>
    </row>
    <row r="16" spans="1:7" s="51" customFormat="1" ht="11.25">
      <c r="A16" s="41">
        <v>1</v>
      </c>
      <c r="B16" s="42">
        <v>2</v>
      </c>
      <c r="C16" s="42">
        <v>3</v>
      </c>
      <c r="D16" s="42">
        <v>4</v>
      </c>
      <c r="E16" s="54">
        <v>5</v>
      </c>
      <c r="F16" s="55">
        <v>6</v>
      </c>
      <c r="G16" s="43">
        <v>7</v>
      </c>
    </row>
    <row r="17" spans="1:7" ht="15.75">
      <c r="A17" s="6"/>
      <c r="B17" s="7"/>
      <c r="C17" s="7"/>
      <c r="D17" s="7"/>
      <c r="E17" s="8"/>
      <c r="F17" s="35"/>
      <c r="G17" s="35"/>
    </row>
    <row r="18" spans="1:7" ht="15.75">
      <c r="A18" s="45" t="s">
        <v>35</v>
      </c>
      <c r="B18" s="10" t="s">
        <v>37</v>
      </c>
      <c r="C18" s="10"/>
      <c r="D18" s="10"/>
      <c r="E18" s="11"/>
      <c r="F18" s="12">
        <f>F19+F23+F29+F34+F38+F43+F47+F51</f>
        <v>126522</v>
      </c>
      <c r="G18" s="12">
        <f>G19+G23+G29+G34+G38+G43+G47+G51</f>
        <v>46</v>
      </c>
    </row>
    <row r="19" spans="1:7" ht="47.25">
      <c r="A19" s="13" t="s">
        <v>36</v>
      </c>
      <c r="B19" s="10" t="s">
        <v>37</v>
      </c>
      <c r="C19" s="10" t="s">
        <v>38</v>
      </c>
      <c r="D19" s="10"/>
      <c r="E19" s="11"/>
      <c r="F19" s="12">
        <f>F20</f>
        <v>993</v>
      </c>
      <c r="G19" s="12">
        <f>G20</f>
        <v>0</v>
      </c>
    </row>
    <row r="20" spans="1:7" ht="31.5">
      <c r="A20" s="13" t="s">
        <v>81</v>
      </c>
      <c r="B20" s="10" t="s">
        <v>37</v>
      </c>
      <c r="C20" s="10" t="s">
        <v>38</v>
      </c>
      <c r="D20" s="10" t="s">
        <v>82</v>
      </c>
      <c r="E20" s="11"/>
      <c r="F20" s="12">
        <f>F21</f>
        <v>993</v>
      </c>
      <c r="G20" s="12">
        <f>G21</f>
        <v>0</v>
      </c>
    </row>
    <row r="21" spans="1:7" ht="31.5">
      <c r="A21" s="14" t="s">
        <v>172</v>
      </c>
      <c r="B21" s="10" t="s">
        <v>37</v>
      </c>
      <c r="C21" s="10" t="s">
        <v>38</v>
      </c>
      <c r="D21" s="10" t="s">
        <v>82</v>
      </c>
      <c r="E21" s="11" t="s">
        <v>171</v>
      </c>
      <c r="F21" s="12">
        <f>главы!G281</f>
        <v>993</v>
      </c>
      <c r="G21" s="12">
        <f>главы!H281</f>
        <v>0</v>
      </c>
    </row>
    <row r="22" spans="1:7" ht="15.75">
      <c r="A22" s="13"/>
      <c r="B22" s="10"/>
      <c r="C22" s="10"/>
      <c r="D22" s="10"/>
      <c r="E22" s="11"/>
      <c r="F22" s="12"/>
      <c r="G22" s="12"/>
    </row>
    <row r="23" spans="1:7" ht="63" customHeight="1">
      <c r="A23" s="13" t="s">
        <v>39</v>
      </c>
      <c r="B23" s="10" t="s">
        <v>37</v>
      </c>
      <c r="C23" s="10" t="s">
        <v>40</v>
      </c>
      <c r="D23" s="10"/>
      <c r="E23" s="11"/>
      <c r="F23" s="12">
        <f>F24</f>
        <v>10893</v>
      </c>
      <c r="G23" s="12">
        <f>G24</f>
        <v>0</v>
      </c>
    </row>
    <row r="24" spans="1:7" ht="31.5">
      <c r="A24" s="13" t="s">
        <v>81</v>
      </c>
      <c r="B24" s="10" t="s">
        <v>37</v>
      </c>
      <c r="C24" s="10" t="s">
        <v>40</v>
      </c>
      <c r="D24" s="10" t="s">
        <v>82</v>
      </c>
      <c r="E24" s="11"/>
      <c r="F24" s="12">
        <f>SUM(F25:F27)</f>
        <v>10893</v>
      </c>
      <c r="G24" s="12">
        <f>SUM(G25:G27)</f>
        <v>0</v>
      </c>
    </row>
    <row r="25" spans="1:7" ht="15.75">
      <c r="A25" s="13" t="s">
        <v>22</v>
      </c>
      <c r="B25" s="10" t="s">
        <v>37</v>
      </c>
      <c r="C25" s="10" t="s">
        <v>40</v>
      </c>
      <c r="D25" s="10" t="s">
        <v>82</v>
      </c>
      <c r="E25" s="11" t="s">
        <v>23</v>
      </c>
      <c r="F25" s="12">
        <f>главы!G348+главы!G285</f>
        <v>5245</v>
      </c>
      <c r="G25" s="12">
        <f>главы!H348+главы!H285</f>
        <v>0</v>
      </c>
    </row>
    <row r="26" spans="1:7" ht="33" customHeight="1">
      <c r="A26" s="19" t="s">
        <v>173</v>
      </c>
      <c r="B26" s="10" t="s">
        <v>37</v>
      </c>
      <c r="C26" s="10" t="s">
        <v>40</v>
      </c>
      <c r="D26" s="10" t="s">
        <v>82</v>
      </c>
      <c r="E26" s="11" t="s">
        <v>174</v>
      </c>
      <c r="F26" s="12">
        <f>главы!G349+главы!G286</f>
        <v>894</v>
      </c>
      <c r="G26" s="12">
        <f>главы!H349</f>
        <v>0</v>
      </c>
    </row>
    <row r="27" spans="1:7" ht="47.25">
      <c r="A27" s="19" t="s">
        <v>175</v>
      </c>
      <c r="B27" s="10" t="s">
        <v>37</v>
      </c>
      <c r="C27" s="10" t="s">
        <v>40</v>
      </c>
      <c r="D27" s="10" t="s">
        <v>82</v>
      </c>
      <c r="E27" s="11" t="s">
        <v>176</v>
      </c>
      <c r="F27" s="12">
        <f>главы!G350+главы!G287</f>
        <v>4754</v>
      </c>
      <c r="G27" s="12">
        <f>главы!H350+главы!H287</f>
        <v>0</v>
      </c>
    </row>
    <row r="28" spans="1:7" ht="15.75">
      <c r="A28" s="13"/>
      <c r="B28" s="10"/>
      <c r="C28" s="10"/>
      <c r="D28" s="10"/>
      <c r="E28" s="11"/>
      <c r="F28" s="12"/>
      <c r="G28" s="12"/>
    </row>
    <row r="29" spans="1:7" ht="47.25">
      <c r="A29" s="13" t="s">
        <v>16</v>
      </c>
      <c r="B29" s="10" t="s">
        <v>37</v>
      </c>
      <c r="C29" s="10" t="s">
        <v>57</v>
      </c>
      <c r="D29" s="10"/>
      <c r="E29" s="11"/>
      <c r="F29" s="12">
        <f>F30</f>
        <v>54929</v>
      </c>
      <c r="G29" s="12">
        <f>G30</f>
        <v>20</v>
      </c>
    </row>
    <row r="30" spans="1:7" ht="31.5">
      <c r="A30" s="13" t="s">
        <v>81</v>
      </c>
      <c r="B30" s="10" t="s">
        <v>37</v>
      </c>
      <c r="C30" s="10" t="s">
        <v>57</v>
      </c>
      <c r="D30" s="10" t="s">
        <v>82</v>
      </c>
      <c r="E30" s="11"/>
      <c r="F30" s="12">
        <f>SUM(F31:F32)</f>
        <v>54929</v>
      </c>
      <c r="G30" s="12">
        <f>SUM(G31:G31)</f>
        <v>20</v>
      </c>
    </row>
    <row r="31" spans="1:7" ht="15.75">
      <c r="A31" s="13" t="s">
        <v>22</v>
      </c>
      <c r="B31" s="10" t="s">
        <v>37</v>
      </c>
      <c r="C31" s="10" t="s">
        <v>57</v>
      </c>
      <c r="D31" s="10" t="s">
        <v>82</v>
      </c>
      <c r="E31" s="11" t="s">
        <v>23</v>
      </c>
      <c r="F31" s="12">
        <f>главы!G291</f>
        <v>53929</v>
      </c>
      <c r="G31" s="12">
        <f>главы!H291</f>
        <v>20</v>
      </c>
    </row>
    <row r="32" spans="1:7" ht="15.75">
      <c r="A32" s="21" t="s">
        <v>297</v>
      </c>
      <c r="B32" s="10" t="s">
        <v>37</v>
      </c>
      <c r="C32" s="10" t="s">
        <v>57</v>
      </c>
      <c r="D32" s="10" t="s">
        <v>82</v>
      </c>
      <c r="E32" s="11" t="s">
        <v>298</v>
      </c>
      <c r="F32" s="12">
        <f>главы!G292</f>
        <v>1000</v>
      </c>
      <c r="G32" s="12">
        <v>0</v>
      </c>
    </row>
    <row r="33" spans="1:7" ht="15.75">
      <c r="A33" s="13"/>
      <c r="B33" s="10"/>
      <c r="C33" s="10"/>
      <c r="D33" s="10"/>
      <c r="E33" s="11"/>
      <c r="F33" s="12"/>
      <c r="G33" s="12"/>
    </row>
    <row r="34" spans="1:7" ht="47.25">
      <c r="A34" s="13" t="s">
        <v>19</v>
      </c>
      <c r="B34" s="10" t="s">
        <v>37</v>
      </c>
      <c r="C34" s="10" t="s">
        <v>59</v>
      </c>
      <c r="D34" s="10"/>
      <c r="E34" s="11"/>
      <c r="F34" s="12">
        <f>F35</f>
        <v>8736</v>
      </c>
      <c r="G34" s="12">
        <f>G35</f>
        <v>0</v>
      </c>
    </row>
    <row r="35" spans="1:7" ht="31.5">
      <c r="A35" s="13" t="s">
        <v>81</v>
      </c>
      <c r="B35" s="10" t="s">
        <v>37</v>
      </c>
      <c r="C35" s="10" t="s">
        <v>59</v>
      </c>
      <c r="D35" s="10" t="s">
        <v>82</v>
      </c>
      <c r="E35" s="11"/>
      <c r="F35" s="12">
        <f>F36</f>
        <v>8736</v>
      </c>
      <c r="G35" s="12">
        <f>G36</f>
        <v>0</v>
      </c>
    </row>
    <row r="36" spans="1:7" ht="15.75">
      <c r="A36" s="13" t="s">
        <v>22</v>
      </c>
      <c r="B36" s="10" t="s">
        <v>37</v>
      </c>
      <c r="C36" s="10" t="s">
        <v>59</v>
      </c>
      <c r="D36" s="10" t="s">
        <v>82</v>
      </c>
      <c r="E36" s="11" t="s">
        <v>23</v>
      </c>
      <c r="F36" s="12">
        <f>главы!G164</f>
        <v>8736</v>
      </c>
      <c r="G36" s="12">
        <f>главы!H164</f>
        <v>0</v>
      </c>
    </row>
    <row r="37" spans="1:7" ht="15.75">
      <c r="A37" s="13"/>
      <c r="B37" s="10"/>
      <c r="C37" s="10"/>
      <c r="D37" s="10"/>
      <c r="E37" s="11"/>
      <c r="F37" s="12"/>
      <c r="G37" s="12"/>
    </row>
    <row r="38" spans="1:7" ht="31.5">
      <c r="A38" s="13" t="s">
        <v>42</v>
      </c>
      <c r="B38" s="10" t="s">
        <v>37</v>
      </c>
      <c r="C38" s="10" t="s">
        <v>43</v>
      </c>
      <c r="D38" s="10"/>
      <c r="E38" s="11"/>
      <c r="F38" s="12">
        <f>F39</f>
        <v>1242</v>
      </c>
      <c r="G38" s="12">
        <f>G39</f>
        <v>0</v>
      </c>
    </row>
    <row r="39" spans="1:7" ht="15.75">
      <c r="A39" s="25" t="s">
        <v>74</v>
      </c>
      <c r="B39" s="15" t="s">
        <v>37</v>
      </c>
      <c r="C39" s="15" t="s">
        <v>43</v>
      </c>
      <c r="D39" s="15" t="s">
        <v>75</v>
      </c>
      <c r="E39" s="16"/>
      <c r="F39" s="12">
        <f>F41+F40</f>
        <v>1242</v>
      </c>
      <c r="G39" s="12">
        <f>G41+G40</f>
        <v>0</v>
      </c>
    </row>
    <row r="40" spans="1:7" ht="47.25">
      <c r="A40" s="19" t="s">
        <v>306</v>
      </c>
      <c r="B40" s="15" t="s">
        <v>37</v>
      </c>
      <c r="C40" s="15" t="s">
        <v>43</v>
      </c>
      <c r="D40" s="15" t="s">
        <v>75</v>
      </c>
      <c r="E40" s="16" t="s">
        <v>308</v>
      </c>
      <c r="F40" s="12">
        <f>главы!G168</f>
        <v>1212</v>
      </c>
      <c r="G40" s="12">
        <f>главы!H168</f>
        <v>0</v>
      </c>
    </row>
    <row r="41" spans="1:7" ht="47.25">
      <c r="A41" s="19" t="s">
        <v>224</v>
      </c>
      <c r="B41" s="15" t="s">
        <v>37</v>
      </c>
      <c r="C41" s="15" t="s">
        <v>43</v>
      </c>
      <c r="D41" s="15" t="s">
        <v>75</v>
      </c>
      <c r="E41" s="16" t="s">
        <v>225</v>
      </c>
      <c r="F41" s="12">
        <f>главы!G296</f>
        <v>30</v>
      </c>
      <c r="G41" s="12">
        <f>главы!H296</f>
        <v>0</v>
      </c>
    </row>
    <row r="42" spans="1:7" ht="15.75">
      <c r="A42" s="25"/>
      <c r="B42" s="15"/>
      <c r="C42" s="15"/>
      <c r="D42" s="15"/>
      <c r="E42" s="16"/>
      <c r="F42" s="12"/>
      <c r="G42" s="12"/>
    </row>
    <row r="43" spans="1:7" ht="31.5">
      <c r="A43" s="14" t="s">
        <v>44</v>
      </c>
      <c r="B43" s="15" t="s">
        <v>37</v>
      </c>
      <c r="C43" s="15" t="s">
        <v>45</v>
      </c>
      <c r="D43" s="15"/>
      <c r="E43" s="16"/>
      <c r="F43" s="12">
        <f>F44</f>
        <v>24626</v>
      </c>
      <c r="G43" s="12">
        <f>G44</f>
        <v>0</v>
      </c>
    </row>
    <row r="44" spans="1:7" ht="31.5">
      <c r="A44" s="14" t="s">
        <v>77</v>
      </c>
      <c r="B44" s="15" t="s">
        <v>37</v>
      </c>
      <c r="C44" s="15" t="s">
        <v>45</v>
      </c>
      <c r="D44" s="15" t="s">
        <v>76</v>
      </c>
      <c r="E44" s="16"/>
      <c r="F44" s="12">
        <f>F45</f>
        <v>24626</v>
      </c>
      <c r="G44" s="12">
        <f>G45</f>
        <v>0</v>
      </c>
    </row>
    <row r="45" spans="1:7" ht="31.5">
      <c r="A45" s="14" t="s">
        <v>198</v>
      </c>
      <c r="B45" s="15" t="s">
        <v>37</v>
      </c>
      <c r="C45" s="15" t="s">
        <v>45</v>
      </c>
      <c r="D45" s="15" t="s">
        <v>76</v>
      </c>
      <c r="E45" s="16" t="s">
        <v>197</v>
      </c>
      <c r="F45" s="12">
        <f>главы!G172</f>
        <v>24626</v>
      </c>
      <c r="G45" s="12">
        <f>главы!H172</f>
        <v>0</v>
      </c>
    </row>
    <row r="46" spans="1:7" ht="15.75">
      <c r="A46" s="14"/>
      <c r="B46" s="15"/>
      <c r="C46" s="15"/>
      <c r="D46" s="15"/>
      <c r="E46" s="16"/>
      <c r="F46" s="12"/>
      <c r="G46" s="12"/>
    </row>
    <row r="47" spans="1:7" ht="15.75">
      <c r="A47" s="13" t="s">
        <v>46</v>
      </c>
      <c r="B47" s="10" t="s">
        <v>37</v>
      </c>
      <c r="C47" s="10" t="s">
        <v>47</v>
      </c>
      <c r="D47" s="10"/>
      <c r="E47" s="11"/>
      <c r="F47" s="12">
        <f>F48</f>
        <v>3385</v>
      </c>
      <c r="G47" s="12">
        <f>G48</f>
        <v>0</v>
      </c>
    </row>
    <row r="48" spans="1:7" ht="15.75">
      <c r="A48" s="13" t="s">
        <v>46</v>
      </c>
      <c r="B48" s="10" t="s">
        <v>37</v>
      </c>
      <c r="C48" s="10" t="s">
        <v>47</v>
      </c>
      <c r="D48" s="10" t="s">
        <v>121</v>
      </c>
      <c r="E48" s="11"/>
      <c r="F48" s="12">
        <f>F49</f>
        <v>3385</v>
      </c>
      <c r="G48" s="12">
        <f>G49</f>
        <v>0</v>
      </c>
    </row>
    <row r="49" spans="1:7" ht="31.5">
      <c r="A49" s="19" t="s">
        <v>195</v>
      </c>
      <c r="B49" s="10" t="s">
        <v>37</v>
      </c>
      <c r="C49" s="10" t="s">
        <v>47</v>
      </c>
      <c r="D49" s="10" t="s">
        <v>121</v>
      </c>
      <c r="E49" s="11" t="s">
        <v>196</v>
      </c>
      <c r="F49" s="12">
        <f>главы!G176</f>
        <v>3385</v>
      </c>
      <c r="G49" s="12">
        <f>главы!H176</f>
        <v>0</v>
      </c>
    </row>
    <row r="50" spans="1:7" ht="15.75">
      <c r="A50" s="13"/>
      <c r="B50" s="10"/>
      <c r="C50" s="10"/>
      <c r="D50" s="10"/>
      <c r="E50" s="11"/>
      <c r="F50" s="12"/>
      <c r="G50" s="12"/>
    </row>
    <row r="51" spans="1:7" ht="15.75">
      <c r="A51" s="13" t="s">
        <v>48</v>
      </c>
      <c r="B51" s="10" t="s">
        <v>37</v>
      </c>
      <c r="C51" s="10" t="s">
        <v>49</v>
      </c>
      <c r="D51" s="10"/>
      <c r="E51" s="11"/>
      <c r="F51" s="12">
        <f>F54+F52</f>
        <v>21718</v>
      </c>
      <c r="G51" s="12">
        <f>G54+G52</f>
        <v>26</v>
      </c>
    </row>
    <row r="52" spans="1:7" ht="31.5">
      <c r="A52" s="13" t="s">
        <v>81</v>
      </c>
      <c r="B52" s="10" t="s">
        <v>37</v>
      </c>
      <c r="C52" s="10" t="s">
        <v>49</v>
      </c>
      <c r="D52" s="10" t="s">
        <v>82</v>
      </c>
      <c r="E52" s="11"/>
      <c r="F52" s="12">
        <f>SUM(F53:F53)</f>
        <v>19918</v>
      </c>
      <c r="G52" s="12">
        <f>SUM(G53:G53)</f>
        <v>26</v>
      </c>
    </row>
    <row r="53" spans="1:7" ht="15.75">
      <c r="A53" s="13" t="s">
        <v>22</v>
      </c>
      <c r="B53" s="10" t="s">
        <v>37</v>
      </c>
      <c r="C53" s="10" t="s">
        <v>49</v>
      </c>
      <c r="D53" s="10" t="s">
        <v>82</v>
      </c>
      <c r="E53" s="11" t="s">
        <v>23</v>
      </c>
      <c r="F53" s="12">
        <f>главы!G34+главы!G50+главы!G187+главы!G250</f>
        <v>19918</v>
      </c>
      <c r="G53" s="12">
        <f>главы!H34+главы!H50+главы!H187+главы!H250</f>
        <v>26</v>
      </c>
    </row>
    <row r="54" spans="1:7" ht="47.25">
      <c r="A54" s="13" t="s">
        <v>28</v>
      </c>
      <c r="B54" s="15" t="s">
        <v>37</v>
      </c>
      <c r="C54" s="15" t="s">
        <v>49</v>
      </c>
      <c r="D54" s="15" t="s">
        <v>29</v>
      </c>
      <c r="E54" s="16"/>
      <c r="F54" s="12">
        <f>SUM(F56:F56)+F55</f>
        <v>1800</v>
      </c>
      <c r="G54" s="12">
        <f>SUM(G56:G56)+G55</f>
        <v>0</v>
      </c>
    </row>
    <row r="55" spans="1:7" ht="31.5">
      <c r="A55" s="17" t="s">
        <v>155</v>
      </c>
      <c r="B55" s="15" t="s">
        <v>37</v>
      </c>
      <c r="C55" s="15" t="s">
        <v>49</v>
      </c>
      <c r="D55" s="15" t="s">
        <v>29</v>
      </c>
      <c r="E55" s="16" t="s">
        <v>154</v>
      </c>
      <c r="F55" s="12">
        <f>главы!G300</f>
        <v>300</v>
      </c>
      <c r="G55" s="12">
        <v>0</v>
      </c>
    </row>
    <row r="56" spans="1:7" ht="16.5" customHeight="1">
      <c r="A56" s="13" t="s">
        <v>30</v>
      </c>
      <c r="B56" s="10" t="s">
        <v>37</v>
      </c>
      <c r="C56" s="10" t="s">
        <v>49</v>
      </c>
      <c r="D56" s="10" t="s">
        <v>29</v>
      </c>
      <c r="E56" s="11" t="s">
        <v>107</v>
      </c>
      <c r="F56" s="12">
        <f>SUM(F57:F57)</f>
        <v>1500</v>
      </c>
      <c r="G56" s="12">
        <f>SUM(G57:G57)</f>
        <v>0</v>
      </c>
    </row>
    <row r="57" spans="1:7" ht="31.5">
      <c r="A57" s="20" t="s">
        <v>147</v>
      </c>
      <c r="B57" s="10"/>
      <c r="C57" s="10"/>
      <c r="D57" s="10"/>
      <c r="E57" s="11"/>
      <c r="F57" s="12">
        <f>главы!G181</f>
        <v>1500</v>
      </c>
      <c r="G57" s="12">
        <f>главы!H181</f>
        <v>0</v>
      </c>
    </row>
    <row r="58" spans="1:7" ht="15.75">
      <c r="A58" s="13"/>
      <c r="B58" s="10"/>
      <c r="C58" s="10"/>
      <c r="D58" s="10"/>
      <c r="E58" s="11"/>
      <c r="F58" s="12"/>
      <c r="G58" s="12"/>
    </row>
    <row r="59" spans="1:7" ht="47.25">
      <c r="A59" s="9" t="s">
        <v>50</v>
      </c>
      <c r="B59" s="10" t="s">
        <v>40</v>
      </c>
      <c r="C59" s="10"/>
      <c r="D59" s="10"/>
      <c r="E59" s="11"/>
      <c r="F59" s="12">
        <f>F60+F64+F68</f>
        <v>10266</v>
      </c>
      <c r="G59" s="12">
        <f>G60+G64+G68</f>
        <v>0</v>
      </c>
    </row>
    <row r="60" spans="1:7" ht="15.75">
      <c r="A60" s="13" t="s">
        <v>51</v>
      </c>
      <c r="B60" s="10" t="s">
        <v>40</v>
      </c>
      <c r="C60" s="10" t="s">
        <v>38</v>
      </c>
      <c r="D60" s="10"/>
      <c r="E60" s="11"/>
      <c r="F60" s="12">
        <f>F61</f>
        <v>5900</v>
      </c>
      <c r="G60" s="12">
        <f>G61</f>
        <v>0</v>
      </c>
    </row>
    <row r="61" spans="1:7" ht="15.75">
      <c r="A61" s="18" t="s">
        <v>126</v>
      </c>
      <c r="B61" s="15" t="s">
        <v>40</v>
      </c>
      <c r="C61" s="15" t="s">
        <v>38</v>
      </c>
      <c r="D61" s="15" t="s">
        <v>127</v>
      </c>
      <c r="E61" s="16"/>
      <c r="F61" s="12">
        <f>F62</f>
        <v>5900</v>
      </c>
      <c r="G61" s="12">
        <f>G62</f>
        <v>0</v>
      </c>
    </row>
    <row r="62" spans="1:7" ht="47.25">
      <c r="A62" s="18" t="s">
        <v>136</v>
      </c>
      <c r="B62" s="15" t="s">
        <v>40</v>
      </c>
      <c r="C62" s="15" t="s">
        <v>38</v>
      </c>
      <c r="D62" s="15" t="s">
        <v>127</v>
      </c>
      <c r="E62" s="16" t="s">
        <v>137</v>
      </c>
      <c r="F62" s="12">
        <f>главы!G273</f>
        <v>5900</v>
      </c>
      <c r="G62" s="12">
        <v>0</v>
      </c>
    </row>
    <row r="63" spans="1:7" ht="15.75">
      <c r="A63" s="25"/>
      <c r="B63" s="10"/>
      <c r="C63" s="10"/>
      <c r="D63" s="10"/>
      <c r="E63" s="11"/>
      <c r="F63" s="12"/>
      <c r="G63" s="12"/>
    </row>
    <row r="64" spans="1:7" ht="45.75" customHeight="1">
      <c r="A64" s="13" t="s">
        <v>52</v>
      </c>
      <c r="B64" s="10" t="s">
        <v>40</v>
      </c>
      <c r="C64" s="10" t="s">
        <v>53</v>
      </c>
      <c r="D64" s="10"/>
      <c r="E64" s="11"/>
      <c r="F64" s="12">
        <f>F65</f>
        <v>4176</v>
      </c>
      <c r="G64" s="12">
        <f>G65</f>
        <v>0</v>
      </c>
    </row>
    <row r="65" spans="1:7" ht="47.25">
      <c r="A65" s="18" t="s">
        <v>269</v>
      </c>
      <c r="B65" s="10" t="s">
        <v>40</v>
      </c>
      <c r="C65" s="10" t="s">
        <v>53</v>
      </c>
      <c r="D65" s="10" t="s">
        <v>268</v>
      </c>
      <c r="E65" s="11"/>
      <c r="F65" s="12">
        <f>F66</f>
        <v>4176</v>
      </c>
      <c r="G65" s="12">
        <f>G66</f>
        <v>0</v>
      </c>
    </row>
    <row r="66" spans="1:7" ht="15.75">
      <c r="A66" s="21" t="s">
        <v>120</v>
      </c>
      <c r="B66" s="10" t="s">
        <v>40</v>
      </c>
      <c r="C66" s="10" t="s">
        <v>53</v>
      </c>
      <c r="D66" s="10" t="s">
        <v>268</v>
      </c>
      <c r="E66" s="11" t="s">
        <v>101</v>
      </c>
      <c r="F66" s="12">
        <f>главы!G192</f>
        <v>4176</v>
      </c>
      <c r="G66" s="12">
        <f>главы!H192</f>
        <v>0</v>
      </c>
    </row>
    <row r="67" spans="1:7" ht="15.75">
      <c r="A67" s="13"/>
      <c r="B67" s="10"/>
      <c r="C67" s="10"/>
      <c r="D67" s="10"/>
      <c r="E67" s="11"/>
      <c r="F67" s="12"/>
      <c r="G67" s="12"/>
    </row>
    <row r="68" spans="1:7" ht="31.5">
      <c r="A68" s="13" t="s">
        <v>54</v>
      </c>
      <c r="B68" s="10" t="s">
        <v>40</v>
      </c>
      <c r="C68" s="10" t="s">
        <v>55</v>
      </c>
      <c r="D68" s="10"/>
      <c r="E68" s="11"/>
      <c r="F68" s="12">
        <f>F69</f>
        <v>190</v>
      </c>
      <c r="G68" s="12">
        <f>G69</f>
        <v>0</v>
      </c>
    </row>
    <row r="69" spans="1:7" ht="15.75">
      <c r="A69" s="18" t="s">
        <v>126</v>
      </c>
      <c r="B69" s="10" t="s">
        <v>40</v>
      </c>
      <c r="C69" s="10" t="s">
        <v>55</v>
      </c>
      <c r="D69" s="10" t="s">
        <v>127</v>
      </c>
      <c r="E69" s="11"/>
      <c r="F69" s="12">
        <f>F70</f>
        <v>190</v>
      </c>
      <c r="G69" s="12">
        <f>G70</f>
        <v>0</v>
      </c>
    </row>
    <row r="70" spans="1:7" ht="47.25">
      <c r="A70" s="18" t="s">
        <v>136</v>
      </c>
      <c r="B70" s="15" t="s">
        <v>40</v>
      </c>
      <c r="C70" s="15" t="s">
        <v>55</v>
      </c>
      <c r="D70" s="15" t="s">
        <v>127</v>
      </c>
      <c r="E70" s="16" t="s">
        <v>137</v>
      </c>
      <c r="F70" s="36">
        <f>главы!G267+главы!G305</f>
        <v>190</v>
      </c>
      <c r="G70" s="12">
        <v>0</v>
      </c>
    </row>
    <row r="71" spans="1:7" ht="15.75">
      <c r="A71" s="13"/>
      <c r="B71" s="10"/>
      <c r="C71" s="10"/>
      <c r="D71" s="10"/>
      <c r="E71" s="11"/>
      <c r="F71" s="12"/>
      <c r="G71" s="12"/>
    </row>
    <row r="72" spans="1:7" ht="15.75">
      <c r="A72" s="9" t="s">
        <v>56</v>
      </c>
      <c r="B72" s="10" t="s">
        <v>57</v>
      </c>
      <c r="C72" s="10"/>
      <c r="D72" s="10"/>
      <c r="E72" s="11"/>
      <c r="F72" s="12">
        <f>F73+F77+F84</f>
        <v>15205</v>
      </c>
      <c r="G72" s="12">
        <f>G73+G77+G84</f>
        <v>315</v>
      </c>
    </row>
    <row r="73" spans="1:7" ht="15.75">
      <c r="A73" s="13" t="s">
        <v>58</v>
      </c>
      <c r="B73" s="10" t="s">
        <v>57</v>
      </c>
      <c r="C73" s="10" t="s">
        <v>38</v>
      </c>
      <c r="D73" s="10"/>
      <c r="E73" s="11"/>
      <c r="F73" s="12">
        <f>F74</f>
        <v>311</v>
      </c>
      <c r="G73" s="12">
        <f>G74</f>
        <v>0</v>
      </c>
    </row>
    <row r="74" spans="1:7" ht="31.5">
      <c r="A74" s="13" t="s">
        <v>185</v>
      </c>
      <c r="B74" s="10" t="s">
        <v>57</v>
      </c>
      <c r="C74" s="10" t="s">
        <v>38</v>
      </c>
      <c r="D74" s="10" t="s">
        <v>122</v>
      </c>
      <c r="E74" s="11"/>
      <c r="F74" s="12">
        <f>F75</f>
        <v>311</v>
      </c>
      <c r="G74" s="12">
        <f>G75</f>
        <v>0</v>
      </c>
    </row>
    <row r="75" spans="1:7" ht="15.75">
      <c r="A75" s="13" t="s">
        <v>120</v>
      </c>
      <c r="B75" s="10" t="s">
        <v>57</v>
      </c>
      <c r="C75" s="10" t="s">
        <v>38</v>
      </c>
      <c r="D75" s="10" t="s">
        <v>122</v>
      </c>
      <c r="E75" s="11" t="s">
        <v>101</v>
      </c>
      <c r="F75" s="12">
        <f>главы!G197+главы!G39+главы!G55</f>
        <v>311</v>
      </c>
      <c r="G75" s="12">
        <f>главы!H197</f>
        <v>0</v>
      </c>
    </row>
    <row r="76" spans="1:7" ht="15.75">
      <c r="A76" s="13"/>
      <c r="B76" s="10"/>
      <c r="C76" s="10"/>
      <c r="D76" s="10"/>
      <c r="E76" s="11"/>
      <c r="F76" s="12"/>
      <c r="G76" s="12"/>
    </row>
    <row r="77" spans="1:7" ht="15.75">
      <c r="A77" s="13" t="s">
        <v>60</v>
      </c>
      <c r="B77" s="10" t="s">
        <v>57</v>
      </c>
      <c r="C77" s="10" t="s">
        <v>61</v>
      </c>
      <c r="D77" s="10"/>
      <c r="E77" s="11"/>
      <c r="F77" s="12">
        <f>F78+F80</f>
        <v>2760</v>
      </c>
      <c r="G77" s="12">
        <f>G78+G80</f>
        <v>0</v>
      </c>
    </row>
    <row r="78" spans="1:7" ht="15.75" hidden="1">
      <c r="A78" s="13" t="s">
        <v>108</v>
      </c>
      <c r="B78" s="10" t="s">
        <v>57</v>
      </c>
      <c r="C78" s="10" t="s">
        <v>61</v>
      </c>
      <c r="D78" s="10" t="s">
        <v>115</v>
      </c>
      <c r="E78" s="11"/>
      <c r="F78" s="12">
        <f>F79</f>
        <v>0</v>
      </c>
      <c r="G78" s="12">
        <f>G79</f>
        <v>0</v>
      </c>
    </row>
    <row r="79" spans="1:7" ht="15.75" hidden="1">
      <c r="A79" s="14" t="s">
        <v>120</v>
      </c>
      <c r="B79" s="15" t="s">
        <v>57</v>
      </c>
      <c r="C79" s="15" t="s">
        <v>61</v>
      </c>
      <c r="D79" s="15" t="s">
        <v>115</v>
      </c>
      <c r="E79" s="16" t="s">
        <v>101</v>
      </c>
      <c r="F79" s="12">
        <f>главы!G201</f>
        <v>0</v>
      </c>
      <c r="G79" s="12">
        <f>главы!H201</f>
        <v>0</v>
      </c>
    </row>
    <row r="80" spans="1:7" ht="15.75">
      <c r="A80" s="17" t="s">
        <v>201</v>
      </c>
      <c r="B80" s="15" t="s">
        <v>57</v>
      </c>
      <c r="C80" s="15" t="s">
        <v>61</v>
      </c>
      <c r="D80" s="15" t="s">
        <v>202</v>
      </c>
      <c r="E80" s="16"/>
      <c r="F80" s="12">
        <f>F81+F82</f>
        <v>2760</v>
      </c>
      <c r="G80" s="12">
        <f>G81</f>
        <v>0</v>
      </c>
    </row>
    <row r="81" spans="1:7" ht="15.75">
      <c r="A81" s="14" t="s">
        <v>120</v>
      </c>
      <c r="B81" s="15" t="s">
        <v>57</v>
      </c>
      <c r="C81" s="15" t="s">
        <v>61</v>
      </c>
      <c r="D81" s="15" t="s">
        <v>202</v>
      </c>
      <c r="E81" s="16" t="s">
        <v>101</v>
      </c>
      <c r="F81" s="12">
        <f>главы!G203</f>
        <v>1860</v>
      </c>
      <c r="G81" s="12">
        <f>главы!H203</f>
        <v>0</v>
      </c>
    </row>
    <row r="82" spans="1:7" ht="31.5">
      <c r="A82" s="21" t="s">
        <v>273</v>
      </c>
      <c r="B82" s="15" t="s">
        <v>57</v>
      </c>
      <c r="C82" s="15" t="s">
        <v>61</v>
      </c>
      <c r="D82" s="15" t="s">
        <v>202</v>
      </c>
      <c r="E82" s="16" t="s">
        <v>267</v>
      </c>
      <c r="F82" s="12">
        <f>главы!G204</f>
        <v>900</v>
      </c>
      <c r="G82" s="12">
        <v>0</v>
      </c>
    </row>
    <row r="83" spans="1:7" ht="15.75">
      <c r="A83" s="21"/>
      <c r="B83" s="15"/>
      <c r="C83" s="15"/>
      <c r="D83" s="15"/>
      <c r="E83" s="16"/>
      <c r="F83" s="12"/>
      <c r="G83" s="12"/>
    </row>
    <row r="84" spans="1:7" ht="31.5">
      <c r="A84" s="13" t="s">
        <v>62</v>
      </c>
      <c r="B84" s="10" t="s">
        <v>57</v>
      </c>
      <c r="C84" s="10" t="s">
        <v>63</v>
      </c>
      <c r="D84" s="10"/>
      <c r="E84" s="11"/>
      <c r="F84" s="12">
        <f>F87+F90+F92+F95+F85</f>
        <v>12134</v>
      </c>
      <c r="G84" s="12">
        <f>G87+G90+G92+G95+G85</f>
        <v>315</v>
      </c>
    </row>
    <row r="85" spans="1:7" ht="31.5">
      <c r="A85" s="21" t="s">
        <v>295</v>
      </c>
      <c r="B85" s="10" t="s">
        <v>57</v>
      </c>
      <c r="C85" s="10" t="s">
        <v>63</v>
      </c>
      <c r="D85" s="15" t="s">
        <v>270</v>
      </c>
      <c r="E85" s="16"/>
      <c r="F85" s="12">
        <f>F86</f>
        <v>4000</v>
      </c>
      <c r="G85" s="12">
        <f>G86</f>
        <v>0</v>
      </c>
    </row>
    <row r="86" spans="1:7" ht="31.5">
      <c r="A86" s="13" t="s">
        <v>138</v>
      </c>
      <c r="B86" s="10" t="s">
        <v>57</v>
      </c>
      <c r="C86" s="10" t="s">
        <v>63</v>
      </c>
      <c r="D86" s="10" t="s">
        <v>270</v>
      </c>
      <c r="E86" s="11" t="s">
        <v>139</v>
      </c>
      <c r="F86" s="12">
        <f>главы!G310</f>
        <v>4000</v>
      </c>
      <c r="G86" s="12">
        <f>главы!H310</f>
        <v>0</v>
      </c>
    </row>
    <row r="87" spans="1:7" ht="31.5">
      <c r="A87" s="21" t="s">
        <v>142</v>
      </c>
      <c r="B87" s="15" t="s">
        <v>57</v>
      </c>
      <c r="C87" s="15" t="s">
        <v>63</v>
      </c>
      <c r="D87" s="15" t="s">
        <v>141</v>
      </c>
      <c r="E87" s="16"/>
      <c r="F87" s="12">
        <f>F89+F88</f>
        <v>4715</v>
      </c>
      <c r="G87" s="12">
        <f>G89+G88</f>
        <v>315</v>
      </c>
    </row>
    <row r="88" spans="1:7" ht="31.5">
      <c r="A88" s="13" t="s">
        <v>138</v>
      </c>
      <c r="B88" s="10" t="s">
        <v>57</v>
      </c>
      <c r="C88" s="10" t="s">
        <v>63</v>
      </c>
      <c r="D88" s="10" t="s">
        <v>141</v>
      </c>
      <c r="E88" s="11" t="s">
        <v>139</v>
      </c>
      <c r="F88" s="12">
        <f>главы!G312+главы!G59</f>
        <v>3715</v>
      </c>
      <c r="G88" s="12">
        <f>главы!H312+главы!H59</f>
        <v>315</v>
      </c>
    </row>
    <row r="89" spans="1:7" ht="31.5">
      <c r="A89" s="21" t="s">
        <v>140</v>
      </c>
      <c r="B89" s="15" t="s">
        <v>57</v>
      </c>
      <c r="C89" s="15" t="s">
        <v>63</v>
      </c>
      <c r="D89" s="15" t="s">
        <v>141</v>
      </c>
      <c r="E89" s="16" t="s">
        <v>143</v>
      </c>
      <c r="F89" s="12">
        <f>главы!G313</f>
        <v>1000</v>
      </c>
      <c r="G89" s="12">
        <f>главы!H313</f>
        <v>0</v>
      </c>
    </row>
    <row r="90" spans="1:7" ht="15.75">
      <c r="A90" s="13" t="s">
        <v>222</v>
      </c>
      <c r="B90" s="10" t="s">
        <v>57</v>
      </c>
      <c r="C90" s="10" t="s">
        <v>63</v>
      </c>
      <c r="D90" s="10" t="s">
        <v>221</v>
      </c>
      <c r="E90" s="11"/>
      <c r="F90" s="12">
        <f>F91</f>
        <v>1775</v>
      </c>
      <c r="G90" s="12">
        <f>G91</f>
        <v>0</v>
      </c>
    </row>
    <row r="91" spans="1:7" ht="31.5">
      <c r="A91" s="13" t="s">
        <v>13</v>
      </c>
      <c r="B91" s="10" t="s">
        <v>57</v>
      </c>
      <c r="C91" s="10" t="s">
        <v>63</v>
      </c>
      <c r="D91" s="10" t="s">
        <v>221</v>
      </c>
      <c r="E91" s="11" t="s">
        <v>14</v>
      </c>
      <c r="F91" s="12">
        <f>главы!G127+главы!G255+главы!G315</f>
        <v>1775</v>
      </c>
      <c r="G91" s="12">
        <f>главы!H61+главы!H127+главы!H255</f>
        <v>0</v>
      </c>
    </row>
    <row r="92" spans="1:7" ht="31.5">
      <c r="A92" s="13" t="s">
        <v>8</v>
      </c>
      <c r="B92" s="10" t="s">
        <v>57</v>
      </c>
      <c r="C92" s="10" t="s">
        <v>63</v>
      </c>
      <c r="D92" s="10" t="s">
        <v>9</v>
      </c>
      <c r="E92" s="11"/>
      <c r="F92" s="12">
        <f>F94+F93</f>
        <v>144</v>
      </c>
      <c r="G92" s="12">
        <f>G94</f>
        <v>0</v>
      </c>
    </row>
    <row r="93" spans="1:7" ht="31.5">
      <c r="A93" s="13" t="s">
        <v>317</v>
      </c>
      <c r="B93" s="10" t="s">
        <v>57</v>
      </c>
      <c r="C93" s="10" t="s">
        <v>63</v>
      </c>
      <c r="D93" s="10" t="s">
        <v>9</v>
      </c>
      <c r="E93" s="11" t="s">
        <v>154</v>
      </c>
      <c r="F93" s="12">
        <f>главы!G208</f>
        <v>0</v>
      </c>
      <c r="G93" s="12"/>
    </row>
    <row r="94" spans="1:7" ht="31.5">
      <c r="A94" s="13" t="s">
        <v>13</v>
      </c>
      <c r="B94" s="10" t="s">
        <v>57</v>
      </c>
      <c r="C94" s="10" t="s">
        <v>63</v>
      </c>
      <c r="D94" s="10" t="s">
        <v>9</v>
      </c>
      <c r="E94" s="11" t="s">
        <v>14</v>
      </c>
      <c r="F94" s="12">
        <f>главы!G317+главы!G61</f>
        <v>144</v>
      </c>
      <c r="G94" s="12">
        <f>главы!H317</f>
        <v>0</v>
      </c>
    </row>
    <row r="95" spans="1:7" ht="15.75">
      <c r="A95" s="13" t="s">
        <v>182</v>
      </c>
      <c r="B95" s="10" t="s">
        <v>57</v>
      </c>
      <c r="C95" s="10" t="s">
        <v>63</v>
      </c>
      <c r="D95" s="10" t="s">
        <v>183</v>
      </c>
      <c r="E95" s="11"/>
      <c r="F95" s="12">
        <f>F96</f>
        <v>1500</v>
      </c>
      <c r="G95" s="12">
        <f>G96</f>
        <v>0</v>
      </c>
    </row>
    <row r="96" spans="1:7" ht="31.5">
      <c r="A96" s="13" t="s">
        <v>180</v>
      </c>
      <c r="B96" s="10" t="s">
        <v>57</v>
      </c>
      <c r="C96" s="10" t="s">
        <v>63</v>
      </c>
      <c r="D96" s="10" t="s">
        <v>183</v>
      </c>
      <c r="E96" s="11" t="s">
        <v>181</v>
      </c>
      <c r="F96" s="12">
        <f>главы!G319</f>
        <v>1500</v>
      </c>
      <c r="G96" s="12">
        <f>главы!H319</f>
        <v>0</v>
      </c>
    </row>
    <row r="97" spans="1:7" ht="15.75">
      <c r="A97" s="13"/>
      <c r="B97" s="10"/>
      <c r="C97" s="10"/>
      <c r="D97" s="10"/>
      <c r="E97" s="11"/>
      <c r="F97" s="12"/>
      <c r="G97" s="12"/>
    </row>
    <row r="98" spans="1:7" ht="31.5">
      <c r="A98" s="9" t="s">
        <v>64</v>
      </c>
      <c r="B98" s="10" t="s">
        <v>41</v>
      </c>
      <c r="C98" s="10"/>
      <c r="D98" s="10"/>
      <c r="E98" s="11"/>
      <c r="F98" s="12">
        <f>F99+F103+F111</f>
        <v>216359</v>
      </c>
      <c r="G98" s="12">
        <f>G99+G103+G111</f>
        <v>0</v>
      </c>
    </row>
    <row r="99" spans="1:7" ht="15.75">
      <c r="A99" s="13" t="s">
        <v>203</v>
      </c>
      <c r="B99" s="10" t="s">
        <v>41</v>
      </c>
      <c r="C99" s="10" t="s">
        <v>37</v>
      </c>
      <c r="D99" s="10"/>
      <c r="E99" s="11"/>
      <c r="F99" s="12">
        <f>F100</f>
        <v>48465</v>
      </c>
      <c r="G99" s="12">
        <f>G100</f>
        <v>0</v>
      </c>
    </row>
    <row r="100" spans="1:7" ht="15.75">
      <c r="A100" s="21" t="s">
        <v>205</v>
      </c>
      <c r="B100" s="10" t="s">
        <v>41</v>
      </c>
      <c r="C100" s="10" t="s">
        <v>37</v>
      </c>
      <c r="D100" s="15" t="s">
        <v>204</v>
      </c>
      <c r="E100" s="16"/>
      <c r="F100" s="12">
        <f>F101</f>
        <v>48465</v>
      </c>
      <c r="G100" s="12">
        <f>G101</f>
        <v>0</v>
      </c>
    </row>
    <row r="101" spans="1:7" ht="15.75">
      <c r="A101" s="21" t="s">
        <v>120</v>
      </c>
      <c r="B101" s="10" t="s">
        <v>41</v>
      </c>
      <c r="C101" s="10" t="s">
        <v>37</v>
      </c>
      <c r="D101" s="15" t="s">
        <v>204</v>
      </c>
      <c r="E101" s="16" t="s">
        <v>101</v>
      </c>
      <c r="F101" s="12">
        <f>главы!G213</f>
        <v>48465</v>
      </c>
      <c r="G101" s="12">
        <f>главы!H213</f>
        <v>0</v>
      </c>
    </row>
    <row r="102" spans="1:7" ht="15.75">
      <c r="A102" s="9"/>
      <c r="B102" s="10"/>
      <c r="C102" s="10"/>
      <c r="D102" s="10"/>
      <c r="E102" s="11"/>
      <c r="F102" s="12"/>
      <c r="G102" s="12"/>
    </row>
    <row r="103" spans="1:7" ht="15.75">
      <c r="A103" s="14" t="s">
        <v>10</v>
      </c>
      <c r="B103" s="10" t="s">
        <v>41</v>
      </c>
      <c r="C103" s="10" t="s">
        <v>38</v>
      </c>
      <c r="D103" s="10"/>
      <c r="E103" s="11"/>
      <c r="F103" s="12">
        <f>F106+F105</f>
        <v>164218</v>
      </c>
      <c r="G103" s="12">
        <f>G106</f>
        <v>0</v>
      </c>
    </row>
    <row r="104" spans="1:7" ht="31.5">
      <c r="A104" s="21" t="s">
        <v>295</v>
      </c>
      <c r="B104" s="10" t="s">
        <v>41</v>
      </c>
      <c r="C104" s="10" t="s">
        <v>38</v>
      </c>
      <c r="D104" s="15" t="s">
        <v>270</v>
      </c>
      <c r="E104" s="16"/>
      <c r="F104" s="12">
        <f>F105+F111</f>
        <v>5607</v>
      </c>
      <c r="G104" s="12">
        <f>G105</f>
        <v>0</v>
      </c>
    </row>
    <row r="105" spans="1:7" ht="47.25">
      <c r="A105" s="21" t="s">
        <v>274</v>
      </c>
      <c r="B105" s="10" t="s">
        <v>41</v>
      </c>
      <c r="C105" s="10" t="s">
        <v>38</v>
      </c>
      <c r="D105" s="15" t="s">
        <v>270</v>
      </c>
      <c r="E105" s="16" t="s">
        <v>206</v>
      </c>
      <c r="F105" s="12">
        <f>главы!G323</f>
        <v>1931</v>
      </c>
      <c r="G105" s="12">
        <f>главы!H323</f>
        <v>0</v>
      </c>
    </row>
    <row r="106" spans="1:7" ht="15.75">
      <c r="A106" s="14" t="s">
        <v>11</v>
      </c>
      <c r="B106" s="10" t="s">
        <v>41</v>
      </c>
      <c r="C106" s="10" t="s">
        <v>38</v>
      </c>
      <c r="D106" s="10" t="s">
        <v>12</v>
      </c>
      <c r="E106" s="11"/>
      <c r="F106" s="12">
        <f>F107+F109+F108</f>
        <v>162287</v>
      </c>
      <c r="G106" s="12">
        <f>G107+G109</f>
        <v>0</v>
      </c>
    </row>
    <row r="107" spans="1:7" ht="15.75">
      <c r="A107" s="14" t="s">
        <v>120</v>
      </c>
      <c r="B107" s="10" t="s">
        <v>41</v>
      </c>
      <c r="C107" s="10" t="s">
        <v>38</v>
      </c>
      <c r="D107" s="10" t="s">
        <v>12</v>
      </c>
      <c r="E107" s="11" t="s">
        <v>101</v>
      </c>
      <c r="F107" s="12">
        <f>главы!G217</f>
        <v>66568</v>
      </c>
      <c r="G107" s="12">
        <f>главы!H217</f>
        <v>0</v>
      </c>
    </row>
    <row r="108" spans="1:7" ht="47.25">
      <c r="A108" s="21" t="s">
        <v>274</v>
      </c>
      <c r="B108" s="10" t="s">
        <v>41</v>
      </c>
      <c r="C108" s="10" t="s">
        <v>38</v>
      </c>
      <c r="D108" s="10" t="s">
        <v>12</v>
      </c>
      <c r="E108" s="11" t="s">
        <v>206</v>
      </c>
      <c r="F108" s="12">
        <f>главы!G218</f>
        <v>30</v>
      </c>
      <c r="G108" s="12">
        <v>0</v>
      </c>
    </row>
    <row r="109" spans="1:7" ht="31.5">
      <c r="A109" s="13" t="s">
        <v>190</v>
      </c>
      <c r="B109" s="10" t="s">
        <v>41</v>
      </c>
      <c r="C109" s="10" t="s">
        <v>38</v>
      </c>
      <c r="D109" s="10" t="s">
        <v>12</v>
      </c>
      <c r="E109" s="11" t="s">
        <v>184</v>
      </c>
      <c r="F109" s="12">
        <f>главы!G44+главы!G66+главы!G219</f>
        <v>95689</v>
      </c>
      <c r="G109" s="12">
        <f>главы!H44+главы!H66+главы!H219</f>
        <v>0</v>
      </c>
    </row>
    <row r="110" spans="1:7" ht="15.75">
      <c r="A110" s="13"/>
      <c r="B110" s="10"/>
      <c r="C110" s="10"/>
      <c r="D110" s="10"/>
      <c r="E110" s="11"/>
      <c r="F110" s="12"/>
      <c r="G110" s="12"/>
    </row>
    <row r="111" spans="1:7" ht="31.5">
      <c r="A111" s="19" t="s">
        <v>17</v>
      </c>
      <c r="B111" s="10" t="s">
        <v>41</v>
      </c>
      <c r="C111" s="10" t="s">
        <v>57</v>
      </c>
      <c r="D111" s="10"/>
      <c r="E111" s="11"/>
      <c r="F111" s="12">
        <f>F112</f>
        <v>3676</v>
      </c>
      <c r="G111" s="12">
        <f>G112</f>
        <v>0</v>
      </c>
    </row>
    <row r="112" spans="1:7" ht="31.5">
      <c r="A112" s="21" t="s">
        <v>295</v>
      </c>
      <c r="B112" s="10" t="s">
        <v>41</v>
      </c>
      <c r="C112" s="10" t="s">
        <v>57</v>
      </c>
      <c r="D112" s="15" t="s">
        <v>270</v>
      </c>
      <c r="E112" s="16"/>
      <c r="F112" s="12">
        <f>F114+F113</f>
        <v>3676</v>
      </c>
      <c r="G112" s="12">
        <f>G114+G113</f>
        <v>0</v>
      </c>
    </row>
    <row r="113" spans="1:7" ht="15.75">
      <c r="A113" s="21" t="s">
        <v>120</v>
      </c>
      <c r="B113" s="10" t="s">
        <v>41</v>
      </c>
      <c r="C113" s="10" t="s">
        <v>57</v>
      </c>
      <c r="D113" s="15" t="s">
        <v>270</v>
      </c>
      <c r="E113" s="16" t="s">
        <v>101</v>
      </c>
      <c r="F113" s="12">
        <f>главы!G223</f>
        <v>975</v>
      </c>
      <c r="G113" s="12">
        <v>0</v>
      </c>
    </row>
    <row r="114" spans="1:7" ht="15.75">
      <c r="A114" s="21" t="s">
        <v>272</v>
      </c>
      <c r="B114" s="10" t="s">
        <v>41</v>
      </c>
      <c r="C114" s="10" t="s">
        <v>57</v>
      </c>
      <c r="D114" s="15" t="s">
        <v>270</v>
      </c>
      <c r="E114" s="16" t="s">
        <v>271</v>
      </c>
      <c r="F114" s="12">
        <f>главы!G224+главы!G326</f>
        <v>2701</v>
      </c>
      <c r="G114" s="12">
        <f>главы!H224</f>
        <v>0</v>
      </c>
    </row>
    <row r="115" spans="1:7" ht="31.5">
      <c r="A115" s="21" t="s">
        <v>138</v>
      </c>
      <c r="B115" s="10" t="s">
        <v>41</v>
      </c>
      <c r="C115" s="10" t="s">
        <v>57</v>
      </c>
      <c r="D115" s="15" t="s">
        <v>270</v>
      </c>
      <c r="E115" s="16" t="s">
        <v>139</v>
      </c>
      <c r="F115" s="12">
        <f>главы!G326</f>
        <v>69</v>
      </c>
      <c r="G115" s="12"/>
    </row>
    <row r="116" spans="1:7" ht="15.75">
      <c r="A116" s="13"/>
      <c r="B116" s="10"/>
      <c r="C116" s="10"/>
      <c r="D116" s="10"/>
      <c r="E116" s="11"/>
      <c r="F116" s="12"/>
      <c r="G116" s="12"/>
    </row>
    <row r="117" spans="1:7" ht="15.75">
      <c r="A117" s="9" t="s">
        <v>65</v>
      </c>
      <c r="B117" s="10" t="s">
        <v>43</v>
      </c>
      <c r="C117" s="10"/>
      <c r="D117" s="10"/>
      <c r="E117" s="11"/>
      <c r="F117" s="12">
        <f>F118+F124+F134+F140</f>
        <v>856476</v>
      </c>
      <c r="G117" s="12">
        <f>G118+G124+G134+G140</f>
        <v>50612</v>
      </c>
    </row>
    <row r="118" spans="1:7" ht="15.75">
      <c r="A118" s="13" t="s">
        <v>167</v>
      </c>
      <c r="B118" s="10" t="s">
        <v>43</v>
      </c>
      <c r="C118" s="10" t="s">
        <v>37</v>
      </c>
      <c r="D118" s="10"/>
      <c r="E118" s="11"/>
      <c r="F118" s="12">
        <f>F119+F121</f>
        <v>312028</v>
      </c>
      <c r="G118" s="12">
        <f>G119+G121</f>
        <v>32698</v>
      </c>
    </row>
    <row r="119" spans="1:7" ht="15.75">
      <c r="A119" s="13" t="s">
        <v>188</v>
      </c>
      <c r="B119" s="10" t="s">
        <v>43</v>
      </c>
      <c r="C119" s="10" t="s">
        <v>37</v>
      </c>
      <c r="D119" s="10" t="s">
        <v>189</v>
      </c>
      <c r="E119" s="11"/>
      <c r="F119" s="12">
        <f>F120</f>
        <v>309868</v>
      </c>
      <c r="G119" s="12">
        <f>G120</f>
        <v>32698</v>
      </c>
    </row>
    <row r="120" spans="1:7" ht="31.5">
      <c r="A120" s="13" t="s">
        <v>31</v>
      </c>
      <c r="B120" s="10" t="s">
        <v>43</v>
      </c>
      <c r="C120" s="10" t="s">
        <v>37</v>
      </c>
      <c r="D120" s="10" t="s">
        <v>189</v>
      </c>
      <c r="E120" s="11" t="s">
        <v>110</v>
      </c>
      <c r="F120" s="12">
        <f>главы!G133</f>
        <v>309868</v>
      </c>
      <c r="G120" s="12">
        <f>главы!H133</f>
        <v>32698</v>
      </c>
    </row>
    <row r="121" spans="1:7" ht="15.75">
      <c r="A121" s="17" t="s">
        <v>126</v>
      </c>
      <c r="B121" s="10" t="s">
        <v>43</v>
      </c>
      <c r="C121" s="10" t="s">
        <v>37</v>
      </c>
      <c r="D121" s="10" t="s">
        <v>127</v>
      </c>
      <c r="E121" s="11"/>
      <c r="F121" s="12">
        <f>F122</f>
        <v>2160</v>
      </c>
      <c r="G121" s="12">
        <f>G122</f>
        <v>0</v>
      </c>
    </row>
    <row r="122" spans="1:7" ht="31.5">
      <c r="A122" s="17" t="s">
        <v>31</v>
      </c>
      <c r="B122" s="10" t="s">
        <v>43</v>
      </c>
      <c r="C122" s="10" t="s">
        <v>37</v>
      </c>
      <c r="D122" s="10" t="s">
        <v>127</v>
      </c>
      <c r="E122" s="11" t="s">
        <v>110</v>
      </c>
      <c r="F122" s="12">
        <f>главы!G135</f>
        <v>2160</v>
      </c>
      <c r="G122" s="12">
        <v>0</v>
      </c>
    </row>
    <row r="123" spans="1:7" ht="15.75">
      <c r="A123" s="9"/>
      <c r="B123" s="10"/>
      <c r="C123" s="10"/>
      <c r="D123" s="10"/>
      <c r="E123" s="11"/>
      <c r="F123" s="12"/>
      <c r="G123" s="12"/>
    </row>
    <row r="124" spans="1:7" ht="15.75">
      <c r="A124" s="13" t="s">
        <v>66</v>
      </c>
      <c r="B124" s="10" t="s">
        <v>43</v>
      </c>
      <c r="C124" s="10" t="s">
        <v>38</v>
      </c>
      <c r="D124" s="10"/>
      <c r="E124" s="11"/>
      <c r="F124" s="12">
        <f>F125+F127+F129+F131</f>
        <v>509617</v>
      </c>
      <c r="G124" s="12">
        <f>G125+G127+G129+G131</f>
        <v>15721</v>
      </c>
    </row>
    <row r="125" spans="1:7" ht="31.5">
      <c r="A125" s="13" t="s">
        <v>99</v>
      </c>
      <c r="B125" s="10" t="s">
        <v>43</v>
      </c>
      <c r="C125" s="10" t="s">
        <v>38</v>
      </c>
      <c r="D125" s="10" t="s">
        <v>4</v>
      </c>
      <c r="E125" s="11"/>
      <c r="F125" s="12">
        <f>F126</f>
        <v>412625</v>
      </c>
      <c r="G125" s="12">
        <f>G126</f>
        <v>9890</v>
      </c>
    </row>
    <row r="126" spans="1:7" ht="31.5">
      <c r="A126" s="13" t="s">
        <v>31</v>
      </c>
      <c r="B126" s="10" t="s">
        <v>43</v>
      </c>
      <c r="C126" s="10" t="s">
        <v>38</v>
      </c>
      <c r="D126" s="10" t="s">
        <v>4</v>
      </c>
      <c r="E126" s="11" t="s">
        <v>110</v>
      </c>
      <c r="F126" s="12">
        <f>главы!G139</f>
        <v>412625</v>
      </c>
      <c r="G126" s="12">
        <f>главы!H139</f>
        <v>9890</v>
      </c>
    </row>
    <row r="127" spans="1:7" ht="15.75">
      <c r="A127" s="13" t="s">
        <v>100</v>
      </c>
      <c r="B127" s="10" t="s">
        <v>43</v>
      </c>
      <c r="C127" s="10" t="s">
        <v>38</v>
      </c>
      <c r="D127" s="10" t="s">
        <v>5</v>
      </c>
      <c r="E127" s="11"/>
      <c r="F127" s="12">
        <f>F128</f>
        <v>20182</v>
      </c>
      <c r="G127" s="12">
        <f>G128</f>
        <v>0</v>
      </c>
    </row>
    <row r="128" spans="1:7" ht="31.5">
      <c r="A128" s="13" t="s">
        <v>31</v>
      </c>
      <c r="B128" s="10" t="s">
        <v>43</v>
      </c>
      <c r="C128" s="10" t="s">
        <v>38</v>
      </c>
      <c r="D128" s="10" t="s">
        <v>5</v>
      </c>
      <c r="E128" s="11" t="s">
        <v>110</v>
      </c>
      <c r="F128" s="12">
        <f>главы!G141</f>
        <v>20182</v>
      </c>
      <c r="G128" s="12">
        <f>главы!H141</f>
        <v>0</v>
      </c>
    </row>
    <row r="129" spans="1:7" ht="17.25" customHeight="1">
      <c r="A129" s="13" t="s">
        <v>90</v>
      </c>
      <c r="B129" s="10" t="s">
        <v>43</v>
      </c>
      <c r="C129" s="10" t="s">
        <v>38</v>
      </c>
      <c r="D129" s="10" t="s">
        <v>131</v>
      </c>
      <c r="E129" s="11"/>
      <c r="F129" s="12">
        <f>F130</f>
        <v>75297</v>
      </c>
      <c r="G129" s="12">
        <f>G130</f>
        <v>5831</v>
      </c>
    </row>
    <row r="130" spans="1:7" ht="31.5">
      <c r="A130" s="13" t="s">
        <v>31</v>
      </c>
      <c r="B130" s="10" t="s">
        <v>43</v>
      </c>
      <c r="C130" s="10" t="s">
        <v>38</v>
      </c>
      <c r="D130" s="10" t="s">
        <v>131</v>
      </c>
      <c r="E130" s="11" t="s">
        <v>110</v>
      </c>
      <c r="F130" s="12">
        <f>главы!G96+главы!G143</f>
        <v>75297</v>
      </c>
      <c r="G130" s="12">
        <f>главы!H96+главы!H143</f>
        <v>5831</v>
      </c>
    </row>
    <row r="131" spans="1:7" ht="15.75">
      <c r="A131" s="17" t="s">
        <v>126</v>
      </c>
      <c r="B131" s="10" t="s">
        <v>43</v>
      </c>
      <c r="C131" s="10" t="s">
        <v>38</v>
      </c>
      <c r="D131" s="10" t="s">
        <v>127</v>
      </c>
      <c r="E131" s="11"/>
      <c r="F131" s="12">
        <f>F132</f>
        <v>1513</v>
      </c>
      <c r="G131" s="12">
        <f>G132</f>
        <v>0</v>
      </c>
    </row>
    <row r="132" spans="1:7" ht="31.5">
      <c r="A132" s="17" t="s">
        <v>31</v>
      </c>
      <c r="B132" s="10" t="s">
        <v>43</v>
      </c>
      <c r="C132" s="10" t="s">
        <v>38</v>
      </c>
      <c r="D132" s="10" t="s">
        <v>127</v>
      </c>
      <c r="E132" s="11" t="s">
        <v>110</v>
      </c>
      <c r="F132" s="12">
        <f>главы!G145+главы!G98</f>
        <v>1513</v>
      </c>
      <c r="G132" s="12">
        <v>0</v>
      </c>
    </row>
    <row r="133" spans="1:7" ht="15.75">
      <c r="A133" s="13"/>
      <c r="B133" s="10"/>
      <c r="C133" s="10"/>
      <c r="D133" s="10"/>
      <c r="E133" s="11"/>
      <c r="F133" s="12"/>
      <c r="G133" s="12"/>
    </row>
    <row r="134" spans="1:7" ht="19.5" customHeight="1">
      <c r="A134" s="13" t="s">
        <v>168</v>
      </c>
      <c r="B134" s="10" t="s">
        <v>43</v>
      </c>
      <c r="C134" s="10" t="s">
        <v>43</v>
      </c>
      <c r="D134" s="10"/>
      <c r="E134" s="11"/>
      <c r="F134" s="12">
        <f>F135+F137</f>
        <v>3480</v>
      </c>
      <c r="G134" s="12">
        <f>G135+G137</f>
        <v>2000</v>
      </c>
    </row>
    <row r="135" spans="1:7" ht="15.75">
      <c r="A135" s="17" t="s">
        <v>126</v>
      </c>
      <c r="B135" s="10" t="s">
        <v>43</v>
      </c>
      <c r="C135" s="10" t="s">
        <v>43</v>
      </c>
      <c r="D135" s="10" t="s">
        <v>127</v>
      </c>
      <c r="E135" s="11"/>
      <c r="F135" s="12">
        <f>F136</f>
        <v>1000</v>
      </c>
      <c r="G135" s="12">
        <f>G136</f>
        <v>0</v>
      </c>
    </row>
    <row r="136" spans="1:7" ht="47.25">
      <c r="A136" s="21" t="s">
        <v>88</v>
      </c>
      <c r="B136" s="10" t="s">
        <v>43</v>
      </c>
      <c r="C136" s="10" t="s">
        <v>43</v>
      </c>
      <c r="D136" s="10" t="s">
        <v>127</v>
      </c>
      <c r="E136" s="11" t="s">
        <v>87</v>
      </c>
      <c r="F136" s="12">
        <f>главы!G149</f>
        <v>1000</v>
      </c>
      <c r="G136" s="12">
        <f>главы!H149</f>
        <v>0</v>
      </c>
    </row>
    <row r="137" spans="1:7" ht="47.25">
      <c r="A137" s="21" t="s">
        <v>193</v>
      </c>
      <c r="B137" s="10" t="s">
        <v>43</v>
      </c>
      <c r="C137" s="10" t="s">
        <v>43</v>
      </c>
      <c r="D137" s="10" t="s">
        <v>191</v>
      </c>
      <c r="E137" s="11"/>
      <c r="F137" s="12">
        <f>F138</f>
        <v>2480</v>
      </c>
      <c r="G137" s="12">
        <f>G138</f>
        <v>2000</v>
      </c>
    </row>
    <row r="138" spans="1:7" ht="15.75">
      <c r="A138" s="21" t="s">
        <v>194</v>
      </c>
      <c r="B138" s="10" t="s">
        <v>43</v>
      </c>
      <c r="C138" s="10" t="s">
        <v>43</v>
      </c>
      <c r="D138" s="10" t="s">
        <v>191</v>
      </c>
      <c r="E138" s="11" t="s">
        <v>192</v>
      </c>
      <c r="F138" s="12">
        <f>главы!G151</f>
        <v>2480</v>
      </c>
      <c r="G138" s="12">
        <f>главы!H151</f>
        <v>2000</v>
      </c>
    </row>
    <row r="139" spans="1:7" ht="15.75">
      <c r="A139" s="13"/>
      <c r="B139" s="10"/>
      <c r="C139" s="10"/>
      <c r="D139" s="10"/>
      <c r="E139" s="11"/>
      <c r="F139" s="12"/>
      <c r="G139" s="12"/>
    </row>
    <row r="140" spans="1:7" ht="15.75">
      <c r="A140" s="13" t="s">
        <v>67</v>
      </c>
      <c r="B140" s="10" t="s">
        <v>43</v>
      </c>
      <c r="C140" s="10" t="s">
        <v>53</v>
      </c>
      <c r="D140" s="10"/>
      <c r="E140" s="11"/>
      <c r="F140" s="12">
        <f>F141+F144</f>
        <v>31351</v>
      </c>
      <c r="G140" s="12">
        <f>G141+G144</f>
        <v>193</v>
      </c>
    </row>
    <row r="141" spans="1:7" ht="31.5">
      <c r="A141" s="13" t="s">
        <v>81</v>
      </c>
      <c r="B141" s="10" t="s">
        <v>43</v>
      </c>
      <c r="C141" s="10" t="s">
        <v>53</v>
      </c>
      <c r="D141" s="10" t="s">
        <v>82</v>
      </c>
      <c r="E141" s="11"/>
      <c r="F141" s="12">
        <f>F142+F143</f>
        <v>21504</v>
      </c>
      <c r="G141" s="12">
        <f>G142</f>
        <v>190</v>
      </c>
    </row>
    <row r="142" spans="1:7" ht="15.75">
      <c r="A142" s="13" t="s">
        <v>22</v>
      </c>
      <c r="B142" s="10" t="s">
        <v>43</v>
      </c>
      <c r="C142" s="10" t="s">
        <v>53</v>
      </c>
      <c r="D142" s="10" t="s">
        <v>82</v>
      </c>
      <c r="E142" s="11" t="s">
        <v>23</v>
      </c>
      <c r="F142" s="12">
        <f>главы!G155</f>
        <v>21504</v>
      </c>
      <c r="G142" s="12">
        <f>главы!H155</f>
        <v>190</v>
      </c>
    </row>
    <row r="143" spans="1:7" ht="15.75">
      <c r="A143" s="13"/>
      <c r="B143" s="10"/>
      <c r="C143" s="10"/>
      <c r="D143" s="10"/>
      <c r="E143" s="11"/>
      <c r="F143" s="12"/>
      <c r="G143" s="12"/>
    </row>
    <row r="144" spans="1:7" ht="48" customHeight="1">
      <c r="A144" s="21" t="s">
        <v>214</v>
      </c>
      <c r="B144" s="15" t="s">
        <v>43</v>
      </c>
      <c r="C144" s="15" t="s">
        <v>53</v>
      </c>
      <c r="D144" s="15" t="s">
        <v>213</v>
      </c>
      <c r="E144" s="16"/>
      <c r="F144" s="12">
        <f>F145</f>
        <v>9847</v>
      </c>
      <c r="G144" s="12">
        <f>G145</f>
        <v>3</v>
      </c>
    </row>
    <row r="145" spans="1:7" ht="31.5">
      <c r="A145" s="13" t="s">
        <v>31</v>
      </c>
      <c r="B145" s="15" t="s">
        <v>43</v>
      </c>
      <c r="C145" s="15" t="s">
        <v>53</v>
      </c>
      <c r="D145" s="15" t="s">
        <v>213</v>
      </c>
      <c r="E145" s="16" t="s">
        <v>110</v>
      </c>
      <c r="F145" s="12">
        <f>главы!G158</f>
        <v>9847</v>
      </c>
      <c r="G145" s="12">
        <f>главы!H158</f>
        <v>3</v>
      </c>
    </row>
    <row r="146" spans="1:7" ht="15.75">
      <c r="A146" s="13"/>
      <c r="B146" s="10"/>
      <c r="C146" s="10"/>
      <c r="D146" s="10"/>
      <c r="E146" s="11"/>
      <c r="F146" s="12"/>
      <c r="G146" s="12"/>
    </row>
    <row r="147" spans="1:7" ht="47.25">
      <c r="A147" s="9" t="s">
        <v>145</v>
      </c>
      <c r="B147" s="10" t="s">
        <v>61</v>
      </c>
      <c r="C147" s="10"/>
      <c r="D147" s="10"/>
      <c r="E147" s="11"/>
      <c r="F147" s="12">
        <f>F148+F160+F164+F168+F174</f>
        <v>38618</v>
      </c>
      <c r="G147" s="12">
        <f>G148+G160+G164+G168+G174</f>
        <v>5281</v>
      </c>
    </row>
    <row r="148" spans="1:7" ht="15.75">
      <c r="A148" s="13" t="s">
        <v>68</v>
      </c>
      <c r="B148" s="10" t="s">
        <v>61</v>
      </c>
      <c r="C148" s="10" t="s">
        <v>37</v>
      </c>
      <c r="D148" s="10"/>
      <c r="E148" s="11"/>
      <c r="F148" s="22">
        <f>F149+F151+F153+F155+F157</f>
        <v>30964</v>
      </c>
      <c r="G148" s="12">
        <f>G149+G151+G153+G155+G157</f>
        <v>5281</v>
      </c>
    </row>
    <row r="149" spans="1:7" ht="15.75">
      <c r="A149" s="13" t="s">
        <v>91</v>
      </c>
      <c r="B149" s="10" t="s">
        <v>61</v>
      </c>
      <c r="C149" s="10" t="s">
        <v>37</v>
      </c>
      <c r="D149" s="10" t="s">
        <v>27</v>
      </c>
      <c r="E149" s="11"/>
      <c r="F149" s="12">
        <f>F150</f>
        <v>2537</v>
      </c>
      <c r="G149" s="12">
        <f>G150</f>
        <v>241</v>
      </c>
    </row>
    <row r="150" spans="1:7" ht="31.5">
      <c r="A150" s="13" t="s">
        <v>31</v>
      </c>
      <c r="B150" s="10" t="s">
        <v>61</v>
      </c>
      <c r="C150" s="10" t="s">
        <v>37</v>
      </c>
      <c r="D150" s="10" t="s">
        <v>27</v>
      </c>
      <c r="E150" s="11" t="s">
        <v>110</v>
      </c>
      <c r="F150" s="12">
        <f>главы!G103</f>
        <v>2537</v>
      </c>
      <c r="G150" s="12">
        <f>главы!H103</f>
        <v>241</v>
      </c>
    </row>
    <row r="151" spans="1:7" ht="15.75">
      <c r="A151" s="13" t="s">
        <v>92</v>
      </c>
      <c r="B151" s="10" t="s">
        <v>61</v>
      </c>
      <c r="C151" s="10" t="s">
        <v>37</v>
      </c>
      <c r="D151" s="10" t="s">
        <v>132</v>
      </c>
      <c r="E151" s="11"/>
      <c r="F151" s="12">
        <f>F152</f>
        <v>13751</v>
      </c>
      <c r="G151" s="12">
        <f>G152</f>
        <v>579</v>
      </c>
    </row>
    <row r="152" spans="1:7" ht="31.5">
      <c r="A152" s="13" t="s">
        <v>31</v>
      </c>
      <c r="B152" s="10" t="s">
        <v>61</v>
      </c>
      <c r="C152" s="10" t="s">
        <v>37</v>
      </c>
      <c r="D152" s="10" t="s">
        <v>132</v>
      </c>
      <c r="E152" s="11" t="s">
        <v>110</v>
      </c>
      <c r="F152" s="12">
        <f>главы!G105</f>
        <v>13751</v>
      </c>
      <c r="G152" s="12">
        <f>главы!H105</f>
        <v>579</v>
      </c>
    </row>
    <row r="153" spans="1:7" ht="31.5">
      <c r="A153" s="13" t="s">
        <v>1</v>
      </c>
      <c r="B153" s="10" t="s">
        <v>61</v>
      </c>
      <c r="C153" s="10" t="s">
        <v>37</v>
      </c>
      <c r="D153" s="10" t="s">
        <v>2</v>
      </c>
      <c r="E153" s="11"/>
      <c r="F153" s="12">
        <f>F154</f>
        <v>12622</v>
      </c>
      <c r="G153" s="12">
        <f>G154</f>
        <v>4071</v>
      </c>
    </row>
    <row r="154" spans="1:7" ht="31.5">
      <c r="A154" s="13" t="s">
        <v>31</v>
      </c>
      <c r="B154" s="10" t="s">
        <v>61</v>
      </c>
      <c r="C154" s="10" t="s">
        <v>37</v>
      </c>
      <c r="D154" s="10" t="s">
        <v>2</v>
      </c>
      <c r="E154" s="11" t="s">
        <v>110</v>
      </c>
      <c r="F154" s="12">
        <f>главы!G107</f>
        <v>12622</v>
      </c>
      <c r="G154" s="12">
        <f>главы!H107</f>
        <v>4071</v>
      </c>
    </row>
    <row r="155" spans="1:7" ht="47.25">
      <c r="A155" s="13" t="s">
        <v>156</v>
      </c>
      <c r="B155" s="10" t="s">
        <v>61</v>
      </c>
      <c r="C155" s="10" t="s">
        <v>37</v>
      </c>
      <c r="D155" s="10" t="s">
        <v>133</v>
      </c>
      <c r="E155" s="11"/>
      <c r="F155" s="12">
        <f>SUM(F156:F156)</f>
        <v>1643</v>
      </c>
      <c r="G155" s="12">
        <f>SUM(G156:G156)</f>
        <v>70</v>
      </c>
    </row>
    <row r="156" spans="1:7" ht="47.25">
      <c r="A156" s="13" t="s">
        <v>97</v>
      </c>
      <c r="B156" s="10" t="s">
        <v>61</v>
      </c>
      <c r="C156" s="10" t="s">
        <v>37</v>
      </c>
      <c r="D156" s="10" t="s">
        <v>133</v>
      </c>
      <c r="E156" s="11" t="s">
        <v>3</v>
      </c>
      <c r="F156" s="12">
        <f>главы!G109</f>
        <v>1643</v>
      </c>
      <c r="G156" s="12">
        <f>главы!H109</f>
        <v>70</v>
      </c>
    </row>
    <row r="157" spans="1:7" ht="15.75">
      <c r="A157" s="17" t="s">
        <v>126</v>
      </c>
      <c r="B157" s="10" t="s">
        <v>61</v>
      </c>
      <c r="C157" s="10" t="s">
        <v>37</v>
      </c>
      <c r="D157" s="10" t="s">
        <v>127</v>
      </c>
      <c r="E157" s="11"/>
      <c r="F157" s="12">
        <f>F158</f>
        <v>411</v>
      </c>
      <c r="G157" s="12">
        <f>G158</f>
        <v>320</v>
      </c>
    </row>
    <row r="158" spans="1:7" ht="31.5">
      <c r="A158" s="17" t="s">
        <v>31</v>
      </c>
      <c r="B158" s="10" t="s">
        <v>61</v>
      </c>
      <c r="C158" s="10" t="s">
        <v>37</v>
      </c>
      <c r="D158" s="10" t="s">
        <v>127</v>
      </c>
      <c r="E158" s="11" t="s">
        <v>110</v>
      </c>
      <c r="F158" s="12">
        <f>главы!G111</f>
        <v>411</v>
      </c>
      <c r="G158" s="12">
        <f>главы!H111</f>
        <v>320</v>
      </c>
    </row>
    <row r="159" spans="1:7" ht="15.75">
      <c r="A159" s="14"/>
      <c r="B159" s="15"/>
      <c r="C159" s="15"/>
      <c r="D159" s="15"/>
      <c r="E159" s="16"/>
      <c r="F159" s="12"/>
      <c r="G159" s="12"/>
    </row>
    <row r="160" spans="1:7" ht="15.75">
      <c r="A160" s="13" t="s">
        <v>93</v>
      </c>
      <c r="B160" s="10" t="s">
        <v>61</v>
      </c>
      <c r="C160" s="10" t="s">
        <v>38</v>
      </c>
      <c r="D160" s="10"/>
      <c r="E160" s="11"/>
      <c r="F160" s="12">
        <f>F161</f>
        <v>450</v>
      </c>
      <c r="G160" s="12">
        <f>G161</f>
        <v>0</v>
      </c>
    </row>
    <row r="161" spans="1:7" ht="47.25">
      <c r="A161" s="13" t="s">
        <v>156</v>
      </c>
      <c r="B161" s="10" t="s">
        <v>61</v>
      </c>
      <c r="C161" s="10" t="s">
        <v>38</v>
      </c>
      <c r="D161" s="10" t="s">
        <v>133</v>
      </c>
      <c r="E161" s="11"/>
      <c r="F161" s="12">
        <f>F162</f>
        <v>450</v>
      </c>
      <c r="G161" s="12">
        <f>G162</f>
        <v>0</v>
      </c>
    </row>
    <row r="162" spans="1:7" ht="15.75">
      <c r="A162" s="13" t="s">
        <v>120</v>
      </c>
      <c r="B162" s="10" t="s">
        <v>61</v>
      </c>
      <c r="C162" s="10" t="s">
        <v>38</v>
      </c>
      <c r="D162" s="10" t="s">
        <v>133</v>
      </c>
      <c r="E162" s="11" t="s">
        <v>101</v>
      </c>
      <c r="F162" s="12">
        <f>главы!G115</f>
        <v>450</v>
      </c>
      <c r="G162" s="12">
        <f>главы!H115</f>
        <v>0</v>
      </c>
    </row>
    <row r="163" spans="1:7" ht="15.75">
      <c r="A163" s="13"/>
      <c r="B163" s="10"/>
      <c r="C163" s="10"/>
      <c r="D163" s="10"/>
      <c r="E163" s="11"/>
      <c r="F163" s="12"/>
      <c r="G163" s="12"/>
    </row>
    <row r="164" spans="1:7" ht="15.75">
      <c r="A164" s="13" t="s">
        <v>226</v>
      </c>
      <c r="B164" s="10" t="s">
        <v>61</v>
      </c>
      <c r="C164" s="10" t="s">
        <v>40</v>
      </c>
      <c r="D164" s="10"/>
      <c r="E164" s="11"/>
      <c r="F164" s="12">
        <f>F165</f>
        <v>2300</v>
      </c>
      <c r="G164" s="12">
        <f>G165</f>
        <v>0</v>
      </c>
    </row>
    <row r="165" spans="1:7" ht="15.75">
      <c r="A165" s="13" t="s">
        <v>227</v>
      </c>
      <c r="B165" s="10" t="s">
        <v>61</v>
      </c>
      <c r="C165" s="10" t="s">
        <v>40</v>
      </c>
      <c r="D165" s="10" t="s">
        <v>228</v>
      </c>
      <c r="E165" s="11"/>
      <c r="F165" s="12">
        <f>F166</f>
        <v>2300</v>
      </c>
      <c r="G165" s="12">
        <f>G166</f>
        <v>0</v>
      </c>
    </row>
    <row r="166" spans="1:7" ht="15.75">
      <c r="A166" s="13" t="s">
        <v>120</v>
      </c>
      <c r="B166" s="10" t="s">
        <v>61</v>
      </c>
      <c r="C166" s="10" t="s">
        <v>40</v>
      </c>
      <c r="D166" s="10" t="s">
        <v>228</v>
      </c>
      <c r="E166" s="11" t="s">
        <v>101</v>
      </c>
      <c r="F166" s="12">
        <f>главы!G331</f>
        <v>2300</v>
      </c>
      <c r="G166" s="12">
        <f>главы!H331</f>
        <v>0</v>
      </c>
    </row>
    <row r="167" spans="1:7" ht="15.75">
      <c r="A167" s="13"/>
      <c r="B167" s="10"/>
      <c r="C167" s="10"/>
      <c r="D167" s="10"/>
      <c r="E167" s="11"/>
      <c r="F167" s="12"/>
      <c r="G167" s="12"/>
    </row>
    <row r="168" spans="1:7" ht="15.75">
      <c r="A168" s="13" t="s">
        <v>69</v>
      </c>
      <c r="B168" s="10" t="s">
        <v>61</v>
      </c>
      <c r="C168" s="10" t="s">
        <v>57</v>
      </c>
      <c r="D168" s="10"/>
      <c r="E168" s="11"/>
      <c r="F168" s="12">
        <f>F169+F171</f>
        <v>810</v>
      </c>
      <c r="G168" s="12">
        <f>G169+G171</f>
        <v>0</v>
      </c>
    </row>
    <row r="169" spans="1:7" ht="15.75">
      <c r="A169" s="13" t="s">
        <v>229</v>
      </c>
      <c r="B169" s="10" t="s">
        <v>61</v>
      </c>
      <c r="C169" s="10" t="s">
        <v>57</v>
      </c>
      <c r="D169" s="10" t="s">
        <v>230</v>
      </c>
      <c r="E169" s="11"/>
      <c r="F169" s="12">
        <f>F170</f>
        <v>300</v>
      </c>
      <c r="G169" s="12">
        <f>G170</f>
        <v>0</v>
      </c>
    </row>
    <row r="170" spans="1:7" ht="15.75">
      <c r="A170" s="13" t="s">
        <v>120</v>
      </c>
      <c r="B170" s="10" t="s">
        <v>61</v>
      </c>
      <c r="C170" s="10" t="s">
        <v>57</v>
      </c>
      <c r="D170" s="10" t="s">
        <v>230</v>
      </c>
      <c r="E170" s="11" t="s">
        <v>101</v>
      </c>
      <c r="F170" s="12">
        <f>главы!G335</f>
        <v>300</v>
      </c>
      <c r="G170" s="12">
        <f>главы!H335</f>
        <v>0</v>
      </c>
    </row>
    <row r="171" spans="1:7" ht="47.25">
      <c r="A171" s="13" t="s">
        <v>6</v>
      </c>
      <c r="B171" s="10" t="s">
        <v>61</v>
      </c>
      <c r="C171" s="10" t="s">
        <v>57</v>
      </c>
      <c r="D171" s="10" t="s">
        <v>7</v>
      </c>
      <c r="E171" s="11"/>
      <c r="F171" s="12">
        <f>F172</f>
        <v>510</v>
      </c>
      <c r="G171" s="12">
        <f>G172</f>
        <v>0</v>
      </c>
    </row>
    <row r="172" spans="1:7" ht="15.75">
      <c r="A172" s="13" t="s">
        <v>120</v>
      </c>
      <c r="B172" s="10" t="s">
        <v>61</v>
      </c>
      <c r="C172" s="10" t="s">
        <v>57</v>
      </c>
      <c r="D172" s="10" t="s">
        <v>7</v>
      </c>
      <c r="E172" s="11" t="s">
        <v>101</v>
      </c>
      <c r="F172" s="12">
        <f>главы!G337</f>
        <v>510</v>
      </c>
      <c r="G172" s="12">
        <f>главы!H337</f>
        <v>0</v>
      </c>
    </row>
    <row r="173" spans="1:7" ht="15.75">
      <c r="A173" s="13"/>
      <c r="B173" s="10"/>
      <c r="C173" s="10"/>
      <c r="D173" s="10"/>
      <c r="E173" s="11"/>
      <c r="F173" s="12"/>
      <c r="G173" s="12"/>
    </row>
    <row r="174" spans="1:7" ht="47.25">
      <c r="A174" s="13" t="s">
        <v>146</v>
      </c>
      <c r="B174" s="10" t="s">
        <v>61</v>
      </c>
      <c r="C174" s="10" t="s">
        <v>59</v>
      </c>
      <c r="D174" s="10"/>
      <c r="E174" s="11"/>
      <c r="F174" s="12">
        <f>F175+F177</f>
        <v>4094</v>
      </c>
      <c r="G174" s="12">
        <f>G175+G177</f>
        <v>0</v>
      </c>
    </row>
    <row r="175" spans="1:7" ht="31.5">
      <c r="A175" s="13" t="s">
        <v>81</v>
      </c>
      <c r="B175" s="10" t="s">
        <v>61</v>
      </c>
      <c r="C175" s="10" t="s">
        <v>59</v>
      </c>
      <c r="D175" s="10" t="s">
        <v>82</v>
      </c>
      <c r="E175" s="11"/>
      <c r="F175" s="12">
        <f>F176</f>
        <v>2442</v>
      </c>
      <c r="G175" s="12">
        <f>G176</f>
        <v>0</v>
      </c>
    </row>
    <row r="176" spans="1:7" ht="15.75">
      <c r="A176" s="13" t="s">
        <v>22</v>
      </c>
      <c r="B176" s="10" t="s">
        <v>61</v>
      </c>
      <c r="C176" s="10" t="s">
        <v>59</v>
      </c>
      <c r="D176" s="10" t="s">
        <v>82</v>
      </c>
      <c r="E176" s="11" t="s">
        <v>23</v>
      </c>
      <c r="F176" s="12">
        <f>главы!G119</f>
        <v>2442</v>
      </c>
      <c r="G176" s="12">
        <f>главы!H119</f>
        <v>0</v>
      </c>
    </row>
    <row r="177" spans="1:7" ht="47.25">
      <c r="A177" s="13" t="s">
        <v>231</v>
      </c>
      <c r="B177" s="10" t="s">
        <v>61</v>
      </c>
      <c r="C177" s="10" t="s">
        <v>59</v>
      </c>
      <c r="D177" s="10" t="s">
        <v>232</v>
      </c>
      <c r="E177" s="11"/>
      <c r="F177" s="12">
        <f>F178</f>
        <v>1652</v>
      </c>
      <c r="G177" s="12">
        <f>G178</f>
        <v>0</v>
      </c>
    </row>
    <row r="178" spans="1:7" ht="15.75">
      <c r="A178" s="13" t="s">
        <v>120</v>
      </c>
      <c r="B178" s="10" t="s">
        <v>61</v>
      </c>
      <c r="C178" s="10" t="s">
        <v>59</v>
      </c>
      <c r="D178" s="10" t="s">
        <v>232</v>
      </c>
      <c r="E178" s="11" t="s">
        <v>101</v>
      </c>
      <c r="F178" s="12">
        <f>главы!G121</f>
        <v>1652</v>
      </c>
      <c r="G178" s="12">
        <f>главы!H121</f>
        <v>0</v>
      </c>
    </row>
    <row r="179" spans="1:7" ht="15.75">
      <c r="A179" s="13"/>
      <c r="B179" s="10"/>
      <c r="C179" s="10"/>
      <c r="D179" s="10"/>
      <c r="E179" s="11"/>
      <c r="F179" s="12"/>
      <c r="G179" s="12"/>
    </row>
    <row r="180" spans="1:7" ht="15.75">
      <c r="A180" s="9" t="s">
        <v>70</v>
      </c>
      <c r="B180" s="10" t="s">
        <v>53</v>
      </c>
      <c r="C180" s="10"/>
      <c r="D180" s="10"/>
      <c r="E180" s="11"/>
      <c r="F180" s="12">
        <f>F181+F194+F199</f>
        <v>375934</v>
      </c>
      <c r="G180" s="12">
        <f>G181+G194+G199</f>
        <v>75483</v>
      </c>
    </row>
    <row r="181" spans="1:7" ht="15.75">
      <c r="A181" s="13" t="s">
        <v>71</v>
      </c>
      <c r="B181" s="10" t="s">
        <v>53</v>
      </c>
      <c r="C181" s="10" t="s">
        <v>37</v>
      </c>
      <c r="D181" s="10"/>
      <c r="E181" s="11"/>
      <c r="F181" s="22">
        <f>F182+F185+F187+F189+F191</f>
        <v>364802</v>
      </c>
      <c r="G181" s="12">
        <f>G182+G185+G187+G189</f>
        <v>75483</v>
      </c>
    </row>
    <row r="182" spans="1:7" ht="47.25">
      <c r="A182" s="13" t="s">
        <v>118</v>
      </c>
      <c r="B182" s="10" t="s">
        <v>53</v>
      </c>
      <c r="C182" s="10" t="s">
        <v>37</v>
      </c>
      <c r="D182" s="10" t="s">
        <v>119</v>
      </c>
      <c r="E182" s="11"/>
      <c r="F182" s="12">
        <f>F183+F184</f>
        <v>9379</v>
      </c>
      <c r="G182" s="12">
        <f>G183+G184</f>
        <v>2453</v>
      </c>
    </row>
    <row r="183" spans="1:7" ht="31.5">
      <c r="A183" s="13" t="s">
        <v>31</v>
      </c>
      <c r="B183" s="10" t="s">
        <v>53</v>
      </c>
      <c r="C183" s="10" t="s">
        <v>37</v>
      </c>
      <c r="D183" s="10" t="s">
        <v>119</v>
      </c>
      <c r="E183" s="11" t="s">
        <v>110</v>
      </c>
      <c r="F183" s="12">
        <f>главы!G72</f>
        <v>8879</v>
      </c>
      <c r="G183" s="12">
        <f>главы!H72</f>
        <v>2453</v>
      </c>
    </row>
    <row r="184" spans="1:7" ht="31.5">
      <c r="A184" s="17" t="s">
        <v>301</v>
      </c>
      <c r="B184" s="10" t="s">
        <v>53</v>
      </c>
      <c r="C184" s="10" t="s">
        <v>37</v>
      </c>
      <c r="D184" s="10" t="s">
        <v>119</v>
      </c>
      <c r="E184" s="11" t="s">
        <v>302</v>
      </c>
      <c r="F184" s="12">
        <f>главы!G73</f>
        <v>500</v>
      </c>
      <c r="G184" s="12">
        <f>главы!H73</f>
        <v>0</v>
      </c>
    </row>
    <row r="185" spans="1:7" ht="31.5">
      <c r="A185" s="19" t="s">
        <v>128</v>
      </c>
      <c r="B185" s="10" t="s">
        <v>53</v>
      </c>
      <c r="C185" s="10" t="s">
        <v>37</v>
      </c>
      <c r="D185" s="10" t="s">
        <v>129</v>
      </c>
      <c r="E185" s="11"/>
      <c r="F185" s="12">
        <f>F186</f>
        <v>294685</v>
      </c>
      <c r="G185" s="12">
        <f>G186</f>
        <v>43279</v>
      </c>
    </row>
    <row r="186" spans="1:7" ht="31.5">
      <c r="A186" s="13" t="s">
        <v>31</v>
      </c>
      <c r="B186" s="10" t="s">
        <v>53</v>
      </c>
      <c r="C186" s="10" t="s">
        <v>37</v>
      </c>
      <c r="D186" s="10" t="s">
        <v>129</v>
      </c>
      <c r="E186" s="11" t="s">
        <v>110</v>
      </c>
      <c r="F186" s="12">
        <f>главы!G75</f>
        <v>294685</v>
      </c>
      <c r="G186" s="12">
        <f>главы!H75</f>
        <v>43279</v>
      </c>
    </row>
    <row r="187" spans="1:7" ht="31.5">
      <c r="A187" s="13" t="s">
        <v>86</v>
      </c>
      <c r="B187" s="10" t="s">
        <v>53</v>
      </c>
      <c r="C187" s="10" t="s">
        <v>37</v>
      </c>
      <c r="D187" s="10" t="s">
        <v>130</v>
      </c>
      <c r="E187" s="11"/>
      <c r="F187" s="12">
        <f>F188</f>
        <v>25186</v>
      </c>
      <c r="G187" s="12">
        <f>G188</f>
        <v>19145</v>
      </c>
    </row>
    <row r="188" spans="1:7" ht="31.5">
      <c r="A188" s="13" t="s">
        <v>31</v>
      </c>
      <c r="B188" s="10" t="s">
        <v>53</v>
      </c>
      <c r="C188" s="10" t="s">
        <v>37</v>
      </c>
      <c r="D188" s="10" t="s">
        <v>130</v>
      </c>
      <c r="E188" s="11" t="s">
        <v>110</v>
      </c>
      <c r="F188" s="12">
        <f>главы!G77</f>
        <v>25186</v>
      </c>
      <c r="G188" s="12">
        <f>главы!H77</f>
        <v>19145</v>
      </c>
    </row>
    <row r="189" spans="1:7" ht="15.75">
      <c r="A189" s="17" t="s">
        <v>162</v>
      </c>
      <c r="B189" s="10" t="s">
        <v>53</v>
      </c>
      <c r="C189" s="10" t="s">
        <v>37</v>
      </c>
      <c r="D189" s="10" t="s">
        <v>161</v>
      </c>
      <c r="E189" s="11"/>
      <c r="F189" s="12">
        <f>F190</f>
        <v>26079</v>
      </c>
      <c r="G189" s="12">
        <f>G190</f>
        <v>10606</v>
      </c>
    </row>
    <row r="190" spans="1:7" ht="31.5">
      <c r="A190" s="13" t="s">
        <v>31</v>
      </c>
      <c r="B190" s="10" t="s">
        <v>53</v>
      </c>
      <c r="C190" s="10" t="s">
        <v>37</v>
      </c>
      <c r="D190" s="10" t="s">
        <v>161</v>
      </c>
      <c r="E190" s="11" t="s">
        <v>110</v>
      </c>
      <c r="F190" s="12">
        <f>главы!G79</f>
        <v>26079</v>
      </c>
      <c r="G190" s="12">
        <f>главы!H79</f>
        <v>10606</v>
      </c>
    </row>
    <row r="191" spans="1:7" ht="15.75">
      <c r="A191" s="17" t="s">
        <v>126</v>
      </c>
      <c r="B191" s="10" t="s">
        <v>53</v>
      </c>
      <c r="C191" s="10" t="s">
        <v>37</v>
      </c>
      <c r="D191" s="10" t="s">
        <v>127</v>
      </c>
      <c r="E191" s="11"/>
      <c r="F191" s="12">
        <f>F192</f>
        <v>9473</v>
      </c>
      <c r="G191" s="12">
        <f>G192</f>
        <v>0</v>
      </c>
    </row>
    <row r="192" spans="1:7" ht="31.5">
      <c r="A192" s="17" t="s">
        <v>31</v>
      </c>
      <c r="B192" s="10" t="s">
        <v>53</v>
      </c>
      <c r="C192" s="10" t="s">
        <v>37</v>
      </c>
      <c r="D192" s="10" t="s">
        <v>127</v>
      </c>
      <c r="E192" s="11" t="s">
        <v>110</v>
      </c>
      <c r="F192" s="12">
        <f>главы!G81</f>
        <v>9473</v>
      </c>
      <c r="G192" s="12">
        <v>0</v>
      </c>
    </row>
    <row r="193" spans="1:7" ht="15.75">
      <c r="A193" s="13"/>
      <c r="B193" s="10"/>
      <c r="C193" s="10"/>
      <c r="D193" s="10"/>
      <c r="E193" s="11"/>
      <c r="F193" s="12"/>
      <c r="G193" s="12"/>
    </row>
    <row r="194" spans="1:7" ht="15.75">
      <c r="A194" s="13" t="s">
        <v>72</v>
      </c>
      <c r="B194" s="10" t="s">
        <v>53</v>
      </c>
      <c r="C194" s="10" t="s">
        <v>38</v>
      </c>
      <c r="D194" s="10"/>
      <c r="E194" s="11"/>
      <c r="F194" s="12">
        <f aca="true" t="shared" si="0" ref="F194:G196">F195</f>
        <v>2517</v>
      </c>
      <c r="G194" s="12">
        <f t="shared" si="0"/>
        <v>0</v>
      </c>
    </row>
    <row r="195" spans="1:7" ht="31.5">
      <c r="A195" s="14" t="s">
        <v>95</v>
      </c>
      <c r="B195" s="15" t="s">
        <v>53</v>
      </c>
      <c r="C195" s="15" t="s">
        <v>38</v>
      </c>
      <c r="D195" s="15" t="s">
        <v>96</v>
      </c>
      <c r="E195" s="16"/>
      <c r="F195" s="12">
        <f>F196+F197</f>
        <v>2517</v>
      </c>
      <c r="G195" s="12">
        <f t="shared" si="0"/>
        <v>0</v>
      </c>
    </row>
    <row r="196" spans="1:7" ht="15.75">
      <c r="A196" s="14" t="s">
        <v>120</v>
      </c>
      <c r="B196" s="15" t="s">
        <v>53</v>
      </c>
      <c r="C196" s="15" t="s">
        <v>38</v>
      </c>
      <c r="D196" s="15" t="s">
        <v>96</v>
      </c>
      <c r="E196" s="16" t="s">
        <v>101</v>
      </c>
      <c r="F196" s="12">
        <f>главы!G261+главы!G85</f>
        <v>1682</v>
      </c>
      <c r="G196" s="12">
        <f t="shared" si="0"/>
        <v>0</v>
      </c>
    </row>
    <row r="197" spans="1:7" ht="31.5">
      <c r="A197" s="13" t="s">
        <v>94</v>
      </c>
      <c r="B197" s="10" t="s">
        <v>53</v>
      </c>
      <c r="C197" s="10" t="s">
        <v>38</v>
      </c>
      <c r="D197" s="10" t="s">
        <v>96</v>
      </c>
      <c r="E197" s="11" t="s">
        <v>103</v>
      </c>
      <c r="F197" s="12">
        <f>главы!G342</f>
        <v>835</v>
      </c>
      <c r="G197" s="12">
        <f>главы!H261+главы!H342</f>
        <v>0</v>
      </c>
    </row>
    <row r="198" spans="1:7" ht="15.75">
      <c r="A198" s="13"/>
      <c r="B198" s="10"/>
      <c r="C198" s="10"/>
      <c r="D198" s="10"/>
      <c r="E198" s="11"/>
      <c r="F198" s="12"/>
      <c r="G198" s="12"/>
    </row>
    <row r="199" spans="1:7" ht="31.5">
      <c r="A199" s="13" t="s">
        <v>73</v>
      </c>
      <c r="B199" s="10" t="s">
        <v>53</v>
      </c>
      <c r="C199" s="10" t="s">
        <v>57</v>
      </c>
      <c r="D199" s="10"/>
      <c r="E199" s="11"/>
      <c r="F199" s="12">
        <f>F200</f>
        <v>8615</v>
      </c>
      <c r="G199" s="12">
        <f>G200</f>
        <v>0</v>
      </c>
    </row>
    <row r="200" spans="1:7" ht="31.5">
      <c r="A200" s="13" t="s">
        <v>81</v>
      </c>
      <c r="B200" s="10" t="s">
        <v>53</v>
      </c>
      <c r="C200" s="10" t="s">
        <v>57</v>
      </c>
      <c r="D200" s="10" t="s">
        <v>82</v>
      </c>
      <c r="E200" s="11"/>
      <c r="F200" s="12">
        <f>F201+F202</f>
        <v>8615</v>
      </c>
      <c r="G200" s="12">
        <f>G201</f>
        <v>0</v>
      </c>
    </row>
    <row r="201" spans="1:7" ht="15.75">
      <c r="A201" s="13" t="s">
        <v>22</v>
      </c>
      <c r="B201" s="10" t="s">
        <v>53</v>
      </c>
      <c r="C201" s="10" t="s">
        <v>57</v>
      </c>
      <c r="D201" s="10" t="s">
        <v>82</v>
      </c>
      <c r="E201" s="11" t="s">
        <v>23</v>
      </c>
      <c r="F201" s="12">
        <f>главы!G89</f>
        <v>8615</v>
      </c>
      <c r="G201" s="12">
        <f>главы!H89</f>
        <v>0</v>
      </c>
    </row>
    <row r="202" spans="1:7" ht="15.75">
      <c r="A202" s="13"/>
      <c r="B202" s="10"/>
      <c r="C202" s="10"/>
      <c r="D202" s="10"/>
      <c r="E202" s="11"/>
      <c r="F202" s="12"/>
      <c r="G202" s="12"/>
    </row>
    <row r="203" spans="1:7" ht="15.75">
      <c r="A203" s="9" t="s">
        <v>78</v>
      </c>
      <c r="B203" s="10" t="s">
        <v>55</v>
      </c>
      <c r="C203" s="10"/>
      <c r="D203" s="10"/>
      <c r="E203" s="11"/>
      <c r="F203" s="22">
        <f>F204+F208+F212</f>
        <v>51822</v>
      </c>
      <c r="G203" s="12">
        <f>G204+G208+G212</f>
        <v>0</v>
      </c>
    </row>
    <row r="204" spans="1:7" ht="15.75">
      <c r="A204" s="21" t="s">
        <v>207</v>
      </c>
      <c r="B204" s="15" t="s">
        <v>55</v>
      </c>
      <c r="C204" s="10" t="s">
        <v>37</v>
      </c>
      <c r="D204" s="10"/>
      <c r="E204" s="11"/>
      <c r="F204" s="12">
        <f>F205</f>
        <v>3460</v>
      </c>
      <c r="G204" s="12">
        <f>G205</f>
        <v>0</v>
      </c>
    </row>
    <row r="205" spans="1:7" ht="15.75">
      <c r="A205" s="21" t="s">
        <v>209</v>
      </c>
      <c r="B205" s="15" t="s">
        <v>55</v>
      </c>
      <c r="C205" s="10" t="s">
        <v>37</v>
      </c>
      <c r="D205" s="10" t="s">
        <v>208</v>
      </c>
      <c r="E205" s="11"/>
      <c r="F205" s="12">
        <f>F206</f>
        <v>3460</v>
      </c>
      <c r="G205" s="12">
        <f>G206</f>
        <v>0</v>
      </c>
    </row>
    <row r="206" spans="1:7" ht="15.75">
      <c r="A206" s="21" t="s">
        <v>210</v>
      </c>
      <c r="B206" s="15" t="s">
        <v>55</v>
      </c>
      <c r="C206" s="10" t="s">
        <v>37</v>
      </c>
      <c r="D206" s="10" t="s">
        <v>208</v>
      </c>
      <c r="E206" s="11" t="s">
        <v>211</v>
      </c>
      <c r="F206" s="12">
        <f>главы!G230</f>
        <v>3460</v>
      </c>
      <c r="G206" s="12">
        <f>главы!H230</f>
        <v>0</v>
      </c>
    </row>
    <row r="207" spans="1:7" ht="15.75">
      <c r="A207" s="21"/>
      <c r="B207" s="15"/>
      <c r="C207" s="10"/>
      <c r="D207" s="10"/>
      <c r="E207" s="11"/>
      <c r="F207" s="12"/>
      <c r="G207" s="12"/>
    </row>
    <row r="208" spans="1:7" ht="15.75">
      <c r="A208" s="21" t="s">
        <v>235</v>
      </c>
      <c r="B208" s="15" t="s">
        <v>55</v>
      </c>
      <c r="C208" s="10" t="s">
        <v>38</v>
      </c>
      <c r="D208" s="10"/>
      <c r="E208" s="11"/>
      <c r="F208" s="12">
        <f>F209</f>
        <v>4212</v>
      </c>
      <c r="G208" s="12">
        <f>G209</f>
        <v>0</v>
      </c>
    </row>
    <row r="209" spans="1:7" ht="15.75">
      <c r="A209" s="17" t="s">
        <v>126</v>
      </c>
      <c r="B209" s="10" t="s">
        <v>55</v>
      </c>
      <c r="C209" s="10" t="s">
        <v>38</v>
      </c>
      <c r="D209" s="10" t="s">
        <v>127</v>
      </c>
      <c r="E209" s="11"/>
      <c r="F209" s="12">
        <f>F210</f>
        <v>4212</v>
      </c>
      <c r="G209" s="12">
        <f>G210</f>
        <v>0</v>
      </c>
    </row>
    <row r="210" spans="1:7" ht="31.5">
      <c r="A210" s="17" t="s">
        <v>134</v>
      </c>
      <c r="B210" s="10" t="s">
        <v>55</v>
      </c>
      <c r="C210" s="10" t="s">
        <v>38</v>
      </c>
      <c r="D210" s="10" t="s">
        <v>127</v>
      </c>
      <c r="E210" s="11" t="s">
        <v>135</v>
      </c>
      <c r="F210" s="12">
        <f>главы!G234</f>
        <v>4212</v>
      </c>
      <c r="G210" s="12">
        <f>главы!H234</f>
        <v>0</v>
      </c>
    </row>
    <row r="211" spans="1:7" ht="15.75">
      <c r="A211" s="13"/>
      <c r="B211" s="10"/>
      <c r="C211" s="10"/>
      <c r="D211" s="10"/>
      <c r="E211" s="11"/>
      <c r="F211" s="12"/>
      <c r="G211" s="12"/>
    </row>
    <row r="212" spans="1:7" ht="31.5">
      <c r="A212" s="13" t="s">
        <v>79</v>
      </c>
      <c r="B212" s="10" t="s">
        <v>55</v>
      </c>
      <c r="C212" s="10" t="s">
        <v>59</v>
      </c>
      <c r="D212" s="10"/>
      <c r="E212" s="11"/>
      <c r="F212" s="12">
        <f>F213+F215</f>
        <v>44150</v>
      </c>
      <c r="G212" s="12">
        <f>G213+G215</f>
        <v>0</v>
      </c>
    </row>
    <row r="213" spans="1:7" ht="31.5">
      <c r="A213" s="13" t="s">
        <v>81</v>
      </c>
      <c r="B213" s="10" t="s">
        <v>55</v>
      </c>
      <c r="C213" s="10" t="s">
        <v>59</v>
      </c>
      <c r="D213" s="10" t="s">
        <v>82</v>
      </c>
      <c r="E213" s="11"/>
      <c r="F213" s="12">
        <f>F214</f>
        <v>14471</v>
      </c>
      <c r="G213" s="12">
        <f>G214</f>
        <v>0</v>
      </c>
    </row>
    <row r="214" spans="1:7" ht="15.75">
      <c r="A214" s="13" t="s">
        <v>22</v>
      </c>
      <c r="B214" s="10" t="s">
        <v>55</v>
      </c>
      <c r="C214" s="10" t="s">
        <v>59</v>
      </c>
      <c r="D214" s="10" t="s">
        <v>82</v>
      </c>
      <c r="E214" s="11" t="s">
        <v>23</v>
      </c>
      <c r="F214" s="12">
        <f>главы!G238</f>
        <v>14471</v>
      </c>
      <c r="G214" s="12">
        <f>главы!H238</f>
        <v>0</v>
      </c>
    </row>
    <row r="215" spans="1:7" ht="15.75">
      <c r="A215" s="13" t="s">
        <v>116</v>
      </c>
      <c r="B215" s="10" t="s">
        <v>55</v>
      </c>
      <c r="C215" s="10" t="s">
        <v>59</v>
      </c>
      <c r="D215" s="10" t="s">
        <v>117</v>
      </c>
      <c r="E215" s="11"/>
      <c r="F215" s="12">
        <f>F216+F217+F218</f>
        <v>29679</v>
      </c>
      <c r="G215" s="12">
        <f>G216</f>
        <v>0</v>
      </c>
    </row>
    <row r="216" spans="1:7" ht="31.5">
      <c r="A216" s="14" t="s">
        <v>31</v>
      </c>
      <c r="B216" s="10" t="s">
        <v>55</v>
      </c>
      <c r="C216" s="10" t="s">
        <v>59</v>
      </c>
      <c r="D216" s="10" t="s">
        <v>117</v>
      </c>
      <c r="E216" s="11" t="s">
        <v>110</v>
      </c>
      <c r="F216" s="12">
        <f>главы!G240</f>
        <v>13293</v>
      </c>
      <c r="G216" s="12">
        <f>главы!H240</f>
        <v>0</v>
      </c>
    </row>
    <row r="217" spans="1:7" ht="31.5">
      <c r="A217" s="17" t="s">
        <v>134</v>
      </c>
      <c r="B217" s="10" t="s">
        <v>55</v>
      </c>
      <c r="C217" s="10" t="s">
        <v>59</v>
      </c>
      <c r="D217" s="10" t="s">
        <v>117</v>
      </c>
      <c r="E217" s="11" t="s">
        <v>135</v>
      </c>
      <c r="F217" s="12">
        <f>главы!G243</f>
        <v>16386</v>
      </c>
      <c r="G217" s="12">
        <f>главы!H243</f>
        <v>0</v>
      </c>
    </row>
    <row r="218" spans="1:7" ht="63" hidden="1">
      <c r="A218" s="17" t="s">
        <v>294</v>
      </c>
      <c r="B218" s="10" t="s">
        <v>55</v>
      </c>
      <c r="C218" s="10" t="s">
        <v>59</v>
      </c>
      <c r="D218" s="10" t="s">
        <v>117</v>
      </c>
      <c r="E218" s="11" t="s">
        <v>293</v>
      </c>
      <c r="F218" s="12">
        <f>главы!G244</f>
        <v>0</v>
      </c>
      <c r="G218" s="12"/>
    </row>
    <row r="219" spans="1:7" ht="15.75">
      <c r="A219" s="46"/>
      <c r="B219" s="10"/>
      <c r="C219" s="10"/>
      <c r="D219" s="10"/>
      <c r="E219" s="11"/>
      <c r="F219" s="12"/>
      <c r="G219" s="12"/>
    </row>
    <row r="220" spans="1:7" ht="15.75">
      <c r="A220" s="28" t="s">
        <v>158</v>
      </c>
      <c r="B220" s="29"/>
      <c r="C220" s="29"/>
      <c r="D220" s="29"/>
      <c r="E220" s="30"/>
      <c r="F220" s="31">
        <f>F18+F59+F72+F98+F117+F147+F180+F203</f>
        <v>1691202</v>
      </c>
      <c r="G220" s="31">
        <f>G18+G59+G72+G98+G117+G147+G180+G203</f>
        <v>131737</v>
      </c>
    </row>
    <row r="221" spans="2:5" ht="15.75">
      <c r="B221" s="47"/>
      <c r="C221" s="47"/>
      <c r="D221" s="47"/>
      <c r="E221" s="47"/>
    </row>
    <row r="222" spans="2:5" ht="15.75">
      <c r="B222" s="47"/>
      <c r="C222" s="47"/>
      <c r="D222" s="47"/>
      <c r="E222" s="47"/>
    </row>
    <row r="223" spans="2:5" ht="15.75">
      <c r="B223" s="47"/>
      <c r="C223" s="47"/>
      <c r="D223" s="47"/>
      <c r="E223" s="47"/>
    </row>
    <row r="224" spans="2:5" ht="15.75">
      <c r="B224" s="47"/>
      <c r="C224" s="47"/>
      <c r="D224" s="47"/>
      <c r="E224" s="47"/>
    </row>
    <row r="225" spans="2:5" ht="15.75">
      <c r="B225" s="47"/>
      <c r="C225" s="47"/>
      <c r="D225" s="47"/>
      <c r="E225" s="47"/>
    </row>
    <row r="226" spans="2:5" ht="15.75">
      <c r="B226" s="47"/>
      <c r="C226" s="47"/>
      <c r="D226" s="47"/>
      <c r="E226" s="47"/>
    </row>
    <row r="227" spans="2:5" ht="15.75">
      <c r="B227" s="47"/>
      <c r="C227" s="47"/>
      <c r="D227" s="47"/>
      <c r="E227" s="47"/>
    </row>
    <row r="228" spans="2:5" ht="15.75">
      <c r="B228" s="47"/>
      <c r="C228" s="47"/>
      <c r="D228" s="47"/>
      <c r="E228" s="47"/>
    </row>
    <row r="229" spans="2:5" ht="15.75">
      <c r="B229" s="47"/>
      <c r="C229" s="47"/>
      <c r="D229" s="47"/>
      <c r="E229" s="47"/>
    </row>
    <row r="230" spans="2:5" ht="15.75">
      <c r="B230" s="47"/>
      <c r="C230" s="47"/>
      <c r="D230" s="47"/>
      <c r="E230" s="47"/>
    </row>
    <row r="231" spans="2:5" ht="15.75">
      <c r="B231" s="47"/>
      <c r="C231" s="47"/>
      <c r="D231" s="47"/>
      <c r="E231" s="47"/>
    </row>
    <row r="232" spans="2:5" ht="15.75">
      <c r="B232" s="47"/>
      <c r="C232" s="47"/>
      <c r="D232" s="47"/>
      <c r="E232" s="47"/>
    </row>
    <row r="233" spans="2:5" ht="15.75">
      <c r="B233" s="47"/>
      <c r="C233" s="47"/>
      <c r="D233" s="47"/>
      <c r="E233" s="47"/>
    </row>
    <row r="234" spans="2:5" ht="15.75">
      <c r="B234" s="47"/>
      <c r="C234" s="47"/>
      <c r="D234" s="47"/>
      <c r="E234" s="47"/>
    </row>
    <row r="235" spans="2:5" ht="15.75">
      <c r="B235" s="47"/>
      <c r="C235" s="47"/>
      <c r="D235" s="47"/>
      <c r="E235" s="47"/>
    </row>
    <row r="236" spans="2:5" ht="15.75">
      <c r="B236" s="47"/>
      <c r="C236" s="47"/>
      <c r="D236" s="47"/>
      <c r="E236" s="47"/>
    </row>
    <row r="237" spans="2:5" ht="15.75">
      <c r="B237" s="47"/>
      <c r="C237" s="47"/>
      <c r="D237" s="47"/>
      <c r="E237" s="47"/>
    </row>
    <row r="238" spans="2:5" ht="15.75">
      <c r="B238" s="47"/>
      <c r="C238" s="47"/>
      <c r="D238" s="47"/>
      <c r="E238" s="47"/>
    </row>
  </sheetData>
  <sheetProtection password="CF7A" sheet="1" objects="1" scenarios="1"/>
  <mergeCells count="10">
    <mergeCell ref="A9:G9"/>
    <mergeCell ref="E8:G8"/>
    <mergeCell ref="A10:G10"/>
    <mergeCell ref="B14:B15"/>
    <mergeCell ref="A14:A15"/>
    <mergeCell ref="A12:G12"/>
    <mergeCell ref="F14:G14"/>
    <mergeCell ref="E14:E15"/>
    <mergeCell ref="D14:D15"/>
    <mergeCell ref="C14:C15"/>
  </mergeCells>
  <printOptions/>
  <pageMargins left="0.78" right="0.3937007874015748" top="0.7874015748031497" bottom="0.5905511811023623" header="0.5118110236220472" footer="0.5118110236220472"/>
  <pageSetup horizontalDpi="600" verticalDpi="600" orientation="portrait" paperSize="9" scale="97" r:id="rId1"/>
  <headerFooter alignWithMargins="0">
    <oddFooter>&amp;R&amp;P</oddFooter>
  </headerFooter>
  <rowBreaks count="15" manualBreakCount="15">
    <brk id="1" max="255" man="1"/>
    <brk id="2" max="255" man="1"/>
    <brk id="3" max="255" man="1"/>
    <brk id="4" max="255" man="1"/>
    <brk id="5" max="255" man="1"/>
    <brk id="6" max="255" man="1"/>
    <brk id="7" max="255" man="1"/>
    <brk id="33" max="6" man="1"/>
    <brk id="56" max="6" man="1"/>
    <brk id="83" max="6" man="1"/>
    <brk id="105" max="6" man="1"/>
    <brk id="133" max="255" man="1"/>
    <brk id="155" max="255" man="1"/>
    <brk id="179" max="255" man="1"/>
    <brk id="20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7:T570"/>
  <sheetViews>
    <sheetView view="pageBreakPreview" zoomScaleSheetLayoutView="100" workbookViewId="0" topLeftCell="A327">
      <selection activeCell="Q345" sqref="Q1:T16384"/>
    </sheetView>
  </sheetViews>
  <sheetFormatPr defaultColWidth="9.00390625" defaultRowHeight="12.75"/>
  <cols>
    <col min="1" max="1" width="38.00390625" style="1" customWidth="1"/>
    <col min="2" max="2" width="4.75390625" style="1" customWidth="1"/>
    <col min="3" max="3" width="4.375" style="1" customWidth="1"/>
    <col min="4" max="4" width="4.875" style="1" customWidth="1"/>
    <col min="5" max="5" width="8.75390625" style="1" customWidth="1"/>
    <col min="6" max="6" width="4.875" style="1" customWidth="1"/>
    <col min="7" max="7" width="13.375" style="60" customWidth="1"/>
    <col min="8" max="8" width="11.375" style="60" customWidth="1"/>
    <col min="9" max="9" width="13.00390625" style="60" hidden="1" customWidth="1"/>
    <col min="10" max="10" width="10.625" style="1" hidden="1" customWidth="1"/>
    <col min="11" max="11" width="10.75390625" style="1" hidden="1" customWidth="1"/>
    <col min="12" max="12" width="10.00390625" style="1" hidden="1" customWidth="1"/>
    <col min="13" max="13" width="11.625" style="1" hidden="1" customWidth="1"/>
    <col min="14" max="14" width="10.375" style="1" hidden="1" customWidth="1"/>
    <col min="15" max="16" width="0" style="1" hidden="1" customWidth="1"/>
    <col min="17" max="18" width="10.75390625" style="1" hidden="1" customWidth="1"/>
    <col min="19" max="19" width="0" style="1" hidden="1" customWidth="1"/>
    <col min="20" max="20" width="13.75390625" style="1" hidden="1" customWidth="1"/>
    <col min="21" max="16384" width="9.125" style="1" customWidth="1"/>
  </cols>
  <sheetData>
    <row r="1" ht="15.75" hidden="1"/>
    <row r="2" ht="15.75" hidden="1"/>
    <row r="3" ht="15.75" hidden="1"/>
    <row r="4" ht="15.75" hidden="1"/>
    <row r="5" ht="15.75" hidden="1"/>
    <row r="17" ht="15.75">
      <c r="G17" s="60">
        <f>G352</f>
        <v>1691202</v>
      </c>
    </row>
    <row r="18" spans="6:9" ht="15.75">
      <c r="F18" s="94" t="s">
        <v>149</v>
      </c>
      <c r="G18" s="94"/>
      <c r="H18" s="94"/>
      <c r="I18" s="38"/>
    </row>
    <row r="19" spans="1:9" ht="15.75">
      <c r="A19" s="93" t="s">
        <v>304</v>
      </c>
      <c r="B19" s="93"/>
      <c r="C19" s="93"/>
      <c r="D19" s="93"/>
      <c r="E19" s="93"/>
      <c r="F19" s="93"/>
      <c r="G19" s="93"/>
      <c r="H19" s="93"/>
      <c r="I19" s="38"/>
    </row>
    <row r="20" spans="1:9" ht="15.75">
      <c r="A20" s="93" t="s">
        <v>318</v>
      </c>
      <c r="B20" s="93"/>
      <c r="C20" s="93"/>
      <c r="D20" s="93"/>
      <c r="E20" s="93"/>
      <c r="F20" s="93"/>
      <c r="G20" s="93"/>
      <c r="H20" s="93"/>
      <c r="I20" s="38"/>
    </row>
    <row r="21" spans="1:6" ht="15.75">
      <c r="A21" s="38"/>
      <c r="B21" s="38"/>
      <c r="C21" s="38"/>
      <c r="D21" s="38"/>
      <c r="E21" s="38"/>
      <c r="F21" s="38"/>
    </row>
    <row r="22" spans="1:9" ht="15.75">
      <c r="A22" s="95" t="s">
        <v>166</v>
      </c>
      <c r="B22" s="95"/>
      <c r="C22" s="95"/>
      <c r="D22" s="95"/>
      <c r="E22" s="95"/>
      <c r="F22" s="95"/>
      <c r="G22" s="95"/>
      <c r="H22" s="95"/>
      <c r="I22" s="39"/>
    </row>
    <row r="23" spans="1:9" ht="15.75">
      <c r="A23" s="5"/>
      <c r="B23" s="5"/>
      <c r="C23" s="5"/>
      <c r="D23" s="5"/>
      <c r="E23" s="5"/>
      <c r="F23" s="5"/>
      <c r="G23" s="61"/>
      <c r="H23" s="61"/>
      <c r="I23" s="61"/>
    </row>
    <row r="24" spans="1:9" ht="15.75">
      <c r="A24" s="108" t="s">
        <v>32</v>
      </c>
      <c r="B24" s="100" t="s">
        <v>83</v>
      </c>
      <c r="C24" s="100" t="s">
        <v>33</v>
      </c>
      <c r="D24" s="100" t="s">
        <v>34</v>
      </c>
      <c r="E24" s="100" t="s">
        <v>0</v>
      </c>
      <c r="F24" s="98" t="s">
        <v>150</v>
      </c>
      <c r="G24" s="92" t="s">
        <v>159</v>
      </c>
      <c r="H24" s="114"/>
      <c r="I24" s="65"/>
    </row>
    <row r="25" spans="1:9" ht="15.75">
      <c r="A25" s="109"/>
      <c r="B25" s="104"/>
      <c r="C25" s="104"/>
      <c r="D25" s="104"/>
      <c r="E25" s="104"/>
      <c r="F25" s="115"/>
      <c r="G25" s="113" t="s">
        <v>153</v>
      </c>
      <c r="H25" s="111" t="s">
        <v>151</v>
      </c>
      <c r="I25" s="112" t="s">
        <v>260</v>
      </c>
    </row>
    <row r="26" spans="1:19" ht="15.75" customHeight="1">
      <c r="A26" s="109"/>
      <c r="B26" s="104"/>
      <c r="C26" s="104"/>
      <c r="D26" s="104"/>
      <c r="E26" s="104"/>
      <c r="F26" s="115"/>
      <c r="G26" s="90"/>
      <c r="H26" s="111"/>
      <c r="I26" s="112"/>
      <c r="L26" s="105" t="s">
        <v>310</v>
      </c>
      <c r="M26" s="105"/>
      <c r="N26" s="105" t="s">
        <v>309</v>
      </c>
      <c r="O26" s="105"/>
      <c r="Q26" s="106" t="s">
        <v>314</v>
      </c>
      <c r="R26" s="107"/>
      <c r="S26" s="107"/>
    </row>
    <row r="27" spans="1:19" ht="75" customHeight="1">
      <c r="A27" s="110"/>
      <c r="B27" s="101"/>
      <c r="C27" s="101"/>
      <c r="D27" s="101"/>
      <c r="E27" s="101"/>
      <c r="F27" s="99"/>
      <c r="G27" s="91"/>
      <c r="H27" s="111"/>
      <c r="I27" s="112"/>
      <c r="J27" s="83" t="s">
        <v>299</v>
      </c>
      <c r="K27" s="83" t="s">
        <v>300</v>
      </c>
      <c r="L27" s="86" t="s">
        <v>311</v>
      </c>
      <c r="M27" s="85" t="s">
        <v>312</v>
      </c>
      <c r="N27" s="86" t="s">
        <v>311</v>
      </c>
      <c r="O27" s="85" t="s">
        <v>312</v>
      </c>
      <c r="P27" s="1" t="s">
        <v>313</v>
      </c>
      <c r="Q27" s="86" t="s">
        <v>311</v>
      </c>
      <c r="R27" s="85" t="s">
        <v>312</v>
      </c>
      <c r="S27" s="83" t="s">
        <v>315</v>
      </c>
    </row>
    <row r="28" spans="1:9" s="51" customFormat="1" ht="11.25">
      <c r="A28" s="41">
        <v>1</v>
      </c>
      <c r="B28" s="42">
        <v>2</v>
      </c>
      <c r="C28" s="42">
        <v>3</v>
      </c>
      <c r="D28" s="42">
        <v>4</v>
      </c>
      <c r="E28" s="42">
        <v>5</v>
      </c>
      <c r="F28" s="52">
        <v>6</v>
      </c>
      <c r="G28" s="62">
        <v>7</v>
      </c>
      <c r="H28" s="62">
        <v>8</v>
      </c>
      <c r="I28" s="66"/>
    </row>
    <row r="29" spans="1:9" ht="15.75">
      <c r="A29" s="48"/>
      <c r="B29" s="49"/>
      <c r="C29" s="49"/>
      <c r="D29" s="49"/>
      <c r="E29" s="49"/>
      <c r="F29" s="50"/>
      <c r="G29" s="63"/>
      <c r="H29" s="63"/>
      <c r="I29" s="67"/>
    </row>
    <row r="30" spans="1:17" ht="31.5">
      <c r="A30" s="9" t="s">
        <v>178</v>
      </c>
      <c r="B30" s="10" t="s">
        <v>179</v>
      </c>
      <c r="C30" s="10"/>
      <c r="D30" s="10"/>
      <c r="E30" s="10"/>
      <c r="F30" s="11"/>
      <c r="G30" s="12">
        <f>G31+G36+G41</f>
        <v>1405</v>
      </c>
      <c r="H30" s="12">
        <f>H31+H36+H41</f>
        <v>0</v>
      </c>
      <c r="I30" s="68"/>
      <c r="K30" s="1">
        <f>SUM(K31:K44)</f>
        <v>-63</v>
      </c>
      <c r="Q30" s="1">
        <f>SUM(Q31:Q44)</f>
        <v>79</v>
      </c>
    </row>
    <row r="31" spans="1:9" ht="15.75">
      <c r="A31" s="13" t="s">
        <v>24</v>
      </c>
      <c r="B31" s="10" t="s">
        <v>179</v>
      </c>
      <c r="C31" s="10" t="s">
        <v>37</v>
      </c>
      <c r="D31" s="10"/>
      <c r="E31" s="10"/>
      <c r="F31" s="11"/>
      <c r="G31" s="12">
        <f aca="true" t="shared" si="0" ref="G31:H33">G32</f>
        <v>1241</v>
      </c>
      <c r="H31" s="12">
        <f t="shared" si="0"/>
        <v>0</v>
      </c>
      <c r="I31" s="68"/>
    </row>
    <row r="32" spans="1:9" ht="31.5">
      <c r="A32" s="13" t="s">
        <v>48</v>
      </c>
      <c r="B32" s="15" t="s">
        <v>179</v>
      </c>
      <c r="C32" s="15" t="s">
        <v>37</v>
      </c>
      <c r="D32" s="15" t="s">
        <v>49</v>
      </c>
      <c r="E32" s="15"/>
      <c r="F32" s="16"/>
      <c r="G32" s="12">
        <f t="shared" si="0"/>
        <v>1241</v>
      </c>
      <c r="H32" s="12">
        <f t="shared" si="0"/>
        <v>0</v>
      </c>
      <c r="I32" s="68"/>
    </row>
    <row r="33" spans="1:9" ht="31.5">
      <c r="A33" s="13" t="s">
        <v>81</v>
      </c>
      <c r="B33" s="10" t="s">
        <v>179</v>
      </c>
      <c r="C33" s="10" t="s">
        <v>37</v>
      </c>
      <c r="D33" s="10" t="s">
        <v>49</v>
      </c>
      <c r="E33" s="10" t="s">
        <v>82</v>
      </c>
      <c r="F33" s="11"/>
      <c r="G33" s="12">
        <f t="shared" si="0"/>
        <v>1241</v>
      </c>
      <c r="H33" s="12">
        <f t="shared" si="0"/>
        <v>0</v>
      </c>
      <c r="I33" s="68"/>
    </row>
    <row r="34" spans="1:17" ht="15.75">
      <c r="A34" s="14" t="s">
        <v>22</v>
      </c>
      <c r="B34" s="10" t="s">
        <v>179</v>
      </c>
      <c r="C34" s="10" t="s">
        <v>37</v>
      </c>
      <c r="D34" s="10" t="s">
        <v>49</v>
      </c>
      <c r="E34" s="10" t="s">
        <v>82</v>
      </c>
      <c r="F34" s="11" t="s">
        <v>23</v>
      </c>
      <c r="G34" s="12">
        <f>1225+K34+Q34</f>
        <v>1241</v>
      </c>
      <c r="H34" s="12">
        <v>0</v>
      </c>
      <c r="I34" s="68"/>
      <c r="K34" s="1">
        <v>-63</v>
      </c>
      <c r="Q34" s="1">
        <v>79</v>
      </c>
    </row>
    <row r="35" spans="1:9" ht="15.75">
      <c r="A35" s="14"/>
      <c r="B35" s="10"/>
      <c r="C35" s="10"/>
      <c r="D35" s="10"/>
      <c r="E35" s="10"/>
      <c r="F35" s="11"/>
      <c r="G35" s="12"/>
      <c r="H35" s="12"/>
      <c r="I35" s="68"/>
    </row>
    <row r="36" spans="1:9" ht="15.75">
      <c r="A36" s="13" t="s">
        <v>25</v>
      </c>
      <c r="B36" s="10" t="s">
        <v>179</v>
      </c>
      <c r="C36" s="10" t="s">
        <v>57</v>
      </c>
      <c r="D36" s="10"/>
      <c r="E36" s="10"/>
      <c r="F36" s="11"/>
      <c r="G36" s="12">
        <f aca="true" t="shared" si="1" ref="G36:H38">G37</f>
        <v>104</v>
      </c>
      <c r="H36" s="12">
        <f t="shared" si="1"/>
        <v>0</v>
      </c>
      <c r="I36" s="68"/>
    </row>
    <row r="37" spans="1:9" ht="15.75">
      <c r="A37" s="14" t="s">
        <v>58</v>
      </c>
      <c r="B37" s="10" t="s">
        <v>179</v>
      </c>
      <c r="C37" s="10" t="s">
        <v>57</v>
      </c>
      <c r="D37" s="10" t="s">
        <v>38</v>
      </c>
      <c r="E37" s="10"/>
      <c r="F37" s="11"/>
      <c r="G37" s="12">
        <f t="shared" si="1"/>
        <v>104</v>
      </c>
      <c r="H37" s="12">
        <f t="shared" si="1"/>
        <v>0</v>
      </c>
      <c r="I37" s="68"/>
    </row>
    <row r="38" spans="1:9" ht="31.5">
      <c r="A38" s="14" t="s">
        <v>185</v>
      </c>
      <c r="B38" s="10" t="s">
        <v>179</v>
      </c>
      <c r="C38" s="10" t="s">
        <v>57</v>
      </c>
      <c r="D38" s="10" t="s">
        <v>38</v>
      </c>
      <c r="E38" s="10" t="s">
        <v>122</v>
      </c>
      <c r="F38" s="11"/>
      <c r="G38" s="12">
        <f t="shared" si="1"/>
        <v>104</v>
      </c>
      <c r="H38" s="12">
        <f t="shared" si="1"/>
        <v>0</v>
      </c>
      <c r="I38" s="68"/>
    </row>
    <row r="39" spans="1:9" ht="15.75">
      <c r="A39" s="21" t="s">
        <v>120</v>
      </c>
      <c r="B39" s="10" t="s">
        <v>179</v>
      </c>
      <c r="C39" s="10" t="s">
        <v>57</v>
      </c>
      <c r="D39" s="10" t="s">
        <v>38</v>
      </c>
      <c r="E39" s="10" t="s">
        <v>122</v>
      </c>
      <c r="F39" s="11" t="s">
        <v>101</v>
      </c>
      <c r="G39" s="12">
        <v>104</v>
      </c>
      <c r="H39" s="12">
        <v>0</v>
      </c>
      <c r="I39" s="68"/>
    </row>
    <row r="40" spans="1:9" ht="15.75">
      <c r="A40" s="13"/>
      <c r="B40" s="10"/>
      <c r="C40" s="10"/>
      <c r="D40" s="10"/>
      <c r="E40" s="10"/>
      <c r="F40" s="11"/>
      <c r="G40" s="12"/>
      <c r="H40" s="12"/>
      <c r="I40" s="68"/>
    </row>
    <row r="41" spans="1:9" ht="15.75">
      <c r="A41" s="13" t="s">
        <v>20</v>
      </c>
      <c r="B41" s="10" t="s">
        <v>179</v>
      </c>
      <c r="C41" s="10" t="s">
        <v>41</v>
      </c>
      <c r="D41" s="10"/>
      <c r="E41" s="10"/>
      <c r="F41" s="11"/>
      <c r="G41" s="12">
        <f aca="true" t="shared" si="2" ref="G41:H43">G42</f>
        <v>60</v>
      </c>
      <c r="H41" s="12">
        <f t="shared" si="2"/>
        <v>0</v>
      </c>
      <c r="I41" s="68"/>
    </row>
    <row r="42" spans="1:9" ht="15.75">
      <c r="A42" s="13" t="s">
        <v>10</v>
      </c>
      <c r="B42" s="10" t="s">
        <v>179</v>
      </c>
      <c r="C42" s="10" t="s">
        <v>41</v>
      </c>
      <c r="D42" s="10" t="s">
        <v>38</v>
      </c>
      <c r="E42" s="10"/>
      <c r="F42" s="11"/>
      <c r="G42" s="12">
        <f t="shared" si="2"/>
        <v>60</v>
      </c>
      <c r="H42" s="12">
        <f t="shared" si="2"/>
        <v>0</v>
      </c>
      <c r="I42" s="68"/>
    </row>
    <row r="43" spans="1:9" ht="15.75" customHeight="1">
      <c r="A43" s="13" t="s">
        <v>11</v>
      </c>
      <c r="B43" s="10" t="s">
        <v>179</v>
      </c>
      <c r="C43" s="10" t="s">
        <v>41</v>
      </c>
      <c r="D43" s="10" t="s">
        <v>38</v>
      </c>
      <c r="E43" s="10" t="s">
        <v>12</v>
      </c>
      <c r="F43" s="11"/>
      <c r="G43" s="12">
        <f t="shared" si="2"/>
        <v>60</v>
      </c>
      <c r="H43" s="12">
        <f t="shared" si="2"/>
        <v>0</v>
      </c>
      <c r="I43" s="68"/>
    </row>
    <row r="44" spans="1:9" ht="31.5">
      <c r="A44" s="13" t="s">
        <v>190</v>
      </c>
      <c r="B44" s="10" t="s">
        <v>179</v>
      </c>
      <c r="C44" s="10" t="s">
        <v>41</v>
      </c>
      <c r="D44" s="10" t="s">
        <v>38</v>
      </c>
      <c r="E44" s="10" t="s">
        <v>12</v>
      </c>
      <c r="F44" s="11" t="s">
        <v>184</v>
      </c>
      <c r="G44" s="12">
        <v>60</v>
      </c>
      <c r="H44" s="12">
        <v>0</v>
      </c>
      <c r="I44" s="68"/>
    </row>
    <row r="45" spans="1:9" ht="15.75">
      <c r="A45" s="13"/>
      <c r="B45" s="10"/>
      <c r="C45" s="10"/>
      <c r="D45" s="10"/>
      <c r="E45" s="10"/>
      <c r="F45" s="11"/>
      <c r="G45" s="12"/>
      <c r="H45" s="12"/>
      <c r="I45" s="68"/>
    </row>
    <row r="46" spans="1:17" ht="31.5">
      <c r="A46" s="9" t="s">
        <v>186</v>
      </c>
      <c r="B46" s="10" t="s">
        <v>187</v>
      </c>
      <c r="C46" s="10"/>
      <c r="D46" s="10"/>
      <c r="E46" s="10"/>
      <c r="F46" s="11"/>
      <c r="G46" s="12">
        <f>G47+G52+G63</f>
        <v>2505</v>
      </c>
      <c r="H46" s="12">
        <f>H47+H52+H63</f>
        <v>341</v>
      </c>
      <c r="I46" s="68"/>
      <c r="K46" s="1">
        <f>SUM(K47:K66)</f>
        <v>-126</v>
      </c>
      <c r="N46" s="1">
        <f>SUM(N47:N66)</f>
        <v>341</v>
      </c>
      <c r="O46" s="1">
        <f>SUM(O47:O66)</f>
        <v>341</v>
      </c>
      <c r="Q46" s="1">
        <f>SUM(Q47:Q66)</f>
        <v>115</v>
      </c>
    </row>
    <row r="47" spans="1:9" ht="15.75">
      <c r="A47" s="13" t="s">
        <v>24</v>
      </c>
      <c r="B47" s="10" t="s">
        <v>187</v>
      </c>
      <c r="C47" s="10" t="s">
        <v>37</v>
      </c>
      <c r="D47" s="10"/>
      <c r="E47" s="10"/>
      <c r="F47" s="11"/>
      <c r="G47" s="12">
        <f aca="true" t="shared" si="3" ref="G47:H49">G48</f>
        <v>1754</v>
      </c>
      <c r="H47" s="12">
        <f t="shared" si="3"/>
        <v>26</v>
      </c>
      <c r="I47" s="68"/>
    </row>
    <row r="48" spans="1:9" ht="31.5">
      <c r="A48" s="13" t="s">
        <v>48</v>
      </c>
      <c r="B48" s="15" t="s">
        <v>187</v>
      </c>
      <c r="C48" s="15" t="s">
        <v>37</v>
      </c>
      <c r="D48" s="15" t="s">
        <v>49</v>
      </c>
      <c r="E48" s="15"/>
      <c r="F48" s="16"/>
      <c r="G48" s="12">
        <f t="shared" si="3"/>
        <v>1754</v>
      </c>
      <c r="H48" s="12">
        <f t="shared" si="3"/>
        <v>26</v>
      </c>
      <c r="I48" s="68"/>
    </row>
    <row r="49" spans="1:9" ht="31.5">
      <c r="A49" s="13" t="s">
        <v>81</v>
      </c>
      <c r="B49" s="10" t="s">
        <v>187</v>
      </c>
      <c r="C49" s="10" t="s">
        <v>37</v>
      </c>
      <c r="D49" s="10" t="s">
        <v>49</v>
      </c>
      <c r="E49" s="10" t="s">
        <v>82</v>
      </c>
      <c r="F49" s="11"/>
      <c r="G49" s="12">
        <f t="shared" si="3"/>
        <v>1754</v>
      </c>
      <c r="H49" s="12">
        <f t="shared" si="3"/>
        <v>26</v>
      </c>
      <c r="I49" s="68"/>
    </row>
    <row r="50" spans="1:17" ht="15.75">
      <c r="A50" s="14" t="s">
        <v>22</v>
      </c>
      <c r="B50" s="10" t="s">
        <v>187</v>
      </c>
      <c r="C50" s="10" t="s">
        <v>37</v>
      </c>
      <c r="D50" s="10" t="s">
        <v>49</v>
      </c>
      <c r="E50" s="10" t="s">
        <v>82</v>
      </c>
      <c r="F50" s="11" t="s">
        <v>23</v>
      </c>
      <c r="G50" s="12">
        <f>1583+26+130+K50+N50+Q50</f>
        <v>1754</v>
      </c>
      <c r="H50" s="12">
        <f>+O50</f>
        <v>26</v>
      </c>
      <c r="I50" s="68"/>
      <c r="K50" s="1">
        <v>-126</v>
      </c>
      <c r="N50" s="1">
        <f>O50</f>
        <v>26</v>
      </c>
      <c r="O50" s="1">
        <v>26</v>
      </c>
      <c r="Q50" s="1">
        <v>115</v>
      </c>
    </row>
    <row r="51" spans="1:9" ht="15.75">
      <c r="A51" s="14"/>
      <c r="B51" s="10"/>
      <c r="C51" s="10"/>
      <c r="D51" s="10"/>
      <c r="E51" s="10"/>
      <c r="F51" s="11"/>
      <c r="G51" s="12"/>
      <c r="H51" s="12"/>
      <c r="I51" s="68"/>
    </row>
    <row r="52" spans="1:9" ht="15.75">
      <c r="A52" s="13" t="s">
        <v>25</v>
      </c>
      <c r="B52" s="10" t="s">
        <v>187</v>
      </c>
      <c r="C52" s="10" t="s">
        <v>57</v>
      </c>
      <c r="D52" s="10"/>
      <c r="E52" s="10"/>
      <c r="F52" s="11"/>
      <c r="G52" s="12">
        <f>G53+G57</f>
        <v>440</v>
      </c>
      <c r="H52" s="12">
        <f>H53+H57</f>
        <v>315</v>
      </c>
      <c r="I52" s="68"/>
    </row>
    <row r="53" spans="1:9" ht="15.75">
      <c r="A53" s="14" t="s">
        <v>58</v>
      </c>
      <c r="B53" s="10" t="s">
        <v>187</v>
      </c>
      <c r="C53" s="10" t="s">
        <v>57</v>
      </c>
      <c r="D53" s="10" t="s">
        <v>38</v>
      </c>
      <c r="E53" s="10"/>
      <c r="F53" s="11"/>
      <c r="G53" s="12">
        <f>G54</f>
        <v>67</v>
      </c>
      <c r="H53" s="12">
        <f>H54</f>
        <v>0</v>
      </c>
      <c r="I53" s="68"/>
    </row>
    <row r="54" spans="1:9" ht="31.5">
      <c r="A54" s="14" t="s">
        <v>185</v>
      </c>
      <c r="B54" s="10" t="s">
        <v>187</v>
      </c>
      <c r="C54" s="10" t="s">
        <v>57</v>
      </c>
      <c r="D54" s="10" t="s">
        <v>38</v>
      </c>
      <c r="E54" s="10" t="s">
        <v>122</v>
      </c>
      <c r="F54" s="11"/>
      <c r="G54" s="12">
        <f>G55</f>
        <v>67</v>
      </c>
      <c r="H54" s="12">
        <f>H55</f>
        <v>0</v>
      </c>
      <c r="I54" s="68"/>
    </row>
    <row r="55" spans="1:9" ht="15.75">
      <c r="A55" s="21" t="s">
        <v>120</v>
      </c>
      <c r="B55" s="10" t="s">
        <v>187</v>
      </c>
      <c r="C55" s="10" t="s">
        <v>57</v>
      </c>
      <c r="D55" s="10" t="s">
        <v>38</v>
      </c>
      <c r="E55" s="10" t="s">
        <v>122</v>
      </c>
      <c r="F55" s="11" t="s">
        <v>101</v>
      </c>
      <c r="G55" s="12">
        <v>67</v>
      </c>
      <c r="H55" s="12">
        <v>0</v>
      </c>
      <c r="I55" s="68"/>
    </row>
    <row r="56" spans="1:9" ht="15.75">
      <c r="A56" s="14"/>
      <c r="B56" s="10"/>
      <c r="C56" s="10"/>
      <c r="D56" s="10"/>
      <c r="E56" s="10"/>
      <c r="F56" s="11"/>
      <c r="G56" s="12"/>
      <c r="H56" s="12"/>
      <c r="I56" s="68"/>
    </row>
    <row r="57" spans="1:9" ht="31.5">
      <c r="A57" s="13" t="s">
        <v>62</v>
      </c>
      <c r="B57" s="10" t="s">
        <v>187</v>
      </c>
      <c r="C57" s="10" t="s">
        <v>57</v>
      </c>
      <c r="D57" s="10" t="s">
        <v>63</v>
      </c>
      <c r="E57" s="10"/>
      <c r="F57" s="11"/>
      <c r="G57" s="12">
        <f>G58+G60</f>
        <v>373</v>
      </c>
      <c r="H57" s="12">
        <f>H58+H60</f>
        <v>315</v>
      </c>
      <c r="I57" s="68"/>
    </row>
    <row r="58" spans="1:9" ht="47.25">
      <c r="A58" s="13" t="s">
        <v>142</v>
      </c>
      <c r="B58" s="10" t="s">
        <v>187</v>
      </c>
      <c r="C58" s="10" t="s">
        <v>57</v>
      </c>
      <c r="D58" s="10" t="s">
        <v>63</v>
      </c>
      <c r="E58" s="10" t="s">
        <v>141</v>
      </c>
      <c r="F58" s="11"/>
      <c r="G58" s="12">
        <f>G59</f>
        <v>315</v>
      </c>
      <c r="H58" s="12">
        <f>H59</f>
        <v>315</v>
      </c>
      <c r="I58" s="68"/>
    </row>
    <row r="59" spans="1:15" ht="31.5">
      <c r="A59" s="13" t="s">
        <v>138</v>
      </c>
      <c r="B59" s="10" t="s">
        <v>187</v>
      </c>
      <c r="C59" s="10" t="s">
        <v>57</v>
      </c>
      <c r="D59" s="10" t="s">
        <v>63</v>
      </c>
      <c r="E59" s="10" t="s">
        <v>141</v>
      </c>
      <c r="F59" s="11" t="s">
        <v>139</v>
      </c>
      <c r="G59" s="12">
        <f>+N59</f>
        <v>315</v>
      </c>
      <c r="H59" s="12">
        <f>+O59</f>
        <v>315</v>
      </c>
      <c r="I59" s="68"/>
      <c r="N59" s="1">
        <f>O59</f>
        <v>315</v>
      </c>
      <c r="O59" s="1">
        <v>315</v>
      </c>
    </row>
    <row r="60" spans="1:9" ht="31.5" customHeight="1">
      <c r="A60" s="13" t="s">
        <v>8</v>
      </c>
      <c r="B60" s="10" t="s">
        <v>187</v>
      </c>
      <c r="C60" s="10" t="s">
        <v>57</v>
      </c>
      <c r="D60" s="10" t="s">
        <v>63</v>
      </c>
      <c r="E60" s="10" t="s">
        <v>9</v>
      </c>
      <c r="F60" s="11"/>
      <c r="G60" s="12">
        <f>G61</f>
        <v>58</v>
      </c>
      <c r="H60" s="12">
        <f>H61</f>
        <v>0</v>
      </c>
      <c r="I60" s="68"/>
    </row>
    <row r="61" spans="1:9" ht="31.5">
      <c r="A61" s="13" t="s">
        <v>13</v>
      </c>
      <c r="B61" s="10" t="s">
        <v>187</v>
      </c>
      <c r="C61" s="10" t="s">
        <v>57</v>
      </c>
      <c r="D61" s="10" t="s">
        <v>63</v>
      </c>
      <c r="E61" s="10" t="s">
        <v>9</v>
      </c>
      <c r="F61" s="11" t="s">
        <v>14</v>
      </c>
      <c r="G61" s="12">
        <v>58</v>
      </c>
      <c r="H61" s="12">
        <v>0</v>
      </c>
      <c r="I61" s="68"/>
    </row>
    <row r="62" spans="1:9" ht="15.75">
      <c r="A62" s="13"/>
      <c r="B62" s="10"/>
      <c r="C62" s="10"/>
      <c r="D62" s="10"/>
      <c r="E62" s="10"/>
      <c r="F62" s="11"/>
      <c r="G62" s="12"/>
      <c r="H62" s="12"/>
      <c r="I62" s="68"/>
    </row>
    <row r="63" spans="1:9" ht="15.75">
      <c r="A63" s="13" t="s">
        <v>20</v>
      </c>
      <c r="B63" s="10" t="s">
        <v>187</v>
      </c>
      <c r="C63" s="10" t="s">
        <v>41</v>
      </c>
      <c r="D63" s="10"/>
      <c r="E63" s="10"/>
      <c r="F63" s="11"/>
      <c r="G63" s="12">
        <f aca="true" t="shared" si="4" ref="G63:H65">G64</f>
        <v>311</v>
      </c>
      <c r="H63" s="12">
        <f t="shared" si="4"/>
        <v>0</v>
      </c>
      <c r="I63" s="68"/>
    </row>
    <row r="64" spans="1:9" ht="15.75">
      <c r="A64" s="13" t="s">
        <v>10</v>
      </c>
      <c r="B64" s="10" t="s">
        <v>187</v>
      </c>
      <c r="C64" s="10" t="s">
        <v>41</v>
      </c>
      <c r="D64" s="10" t="s">
        <v>38</v>
      </c>
      <c r="E64" s="10"/>
      <c r="F64" s="11"/>
      <c r="G64" s="12">
        <f t="shared" si="4"/>
        <v>311</v>
      </c>
      <c r="H64" s="12">
        <f t="shared" si="4"/>
        <v>0</v>
      </c>
      <c r="I64" s="68"/>
    </row>
    <row r="65" spans="1:9" ht="15.75" customHeight="1">
      <c r="A65" s="13" t="s">
        <v>11</v>
      </c>
      <c r="B65" s="10" t="s">
        <v>187</v>
      </c>
      <c r="C65" s="10" t="s">
        <v>41</v>
      </c>
      <c r="D65" s="10" t="s">
        <v>38</v>
      </c>
      <c r="E65" s="10" t="s">
        <v>12</v>
      </c>
      <c r="F65" s="11"/>
      <c r="G65" s="12">
        <f t="shared" si="4"/>
        <v>311</v>
      </c>
      <c r="H65" s="12">
        <f t="shared" si="4"/>
        <v>0</v>
      </c>
      <c r="I65" s="68"/>
    </row>
    <row r="66" spans="1:9" ht="31.5">
      <c r="A66" s="13" t="s">
        <v>190</v>
      </c>
      <c r="B66" s="10" t="s">
        <v>187</v>
      </c>
      <c r="C66" s="10" t="s">
        <v>41</v>
      </c>
      <c r="D66" s="10" t="s">
        <v>38</v>
      </c>
      <c r="E66" s="10" t="s">
        <v>12</v>
      </c>
      <c r="F66" s="11" t="s">
        <v>184</v>
      </c>
      <c r="G66" s="12">
        <v>311</v>
      </c>
      <c r="H66" s="12">
        <v>0</v>
      </c>
      <c r="I66" s="68"/>
    </row>
    <row r="67" spans="1:9" ht="15.75">
      <c r="A67" s="13"/>
      <c r="B67" s="10"/>
      <c r="C67" s="10"/>
      <c r="D67" s="10"/>
      <c r="E67" s="10"/>
      <c r="F67" s="11"/>
      <c r="G67" s="12"/>
      <c r="H67" s="12"/>
      <c r="I67" s="68"/>
    </row>
    <row r="68" spans="1:18" ht="31.5">
      <c r="A68" s="9" t="s">
        <v>160</v>
      </c>
      <c r="B68" s="10" t="s">
        <v>84</v>
      </c>
      <c r="C68" s="10"/>
      <c r="D68" s="10"/>
      <c r="E68" s="10"/>
      <c r="F68" s="11"/>
      <c r="G68" s="12">
        <f>+G69</f>
        <v>375099</v>
      </c>
      <c r="H68" s="12">
        <f>H69</f>
        <v>75483</v>
      </c>
      <c r="I68" s="68"/>
      <c r="J68" s="1">
        <f>SUM(J69:J89)</f>
        <v>14971</v>
      </c>
      <c r="K68" s="1">
        <f>SUM(K69:K89)</f>
        <v>2561</v>
      </c>
      <c r="N68" s="1">
        <f>SUM(N69:N89)</f>
        <v>-1522</v>
      </c>
      <c r="Q68" s="2">
        <f>SUM(Q69:Q89)</f>
        <v>11796</v>
      </c>
      <c r="R68" s="1">
        <f>SUM(R69:R89)</f>
        <v>6124</v>
      </c>
    </row>
    <row r="69" spans="1:9" ht="15.75">
      <c r="A69" s="17" t="s">
        <v>26</v>
      </c>
      <c r="B69" s="10" t="s">
        <v>84</v>
      </c>
      <c r="C69" s="10" t="s">
        <v>53</v>
      </c>
      <c r="D69" s="10"/>
      <c r="E69" s="10"/>
      <c r="F69" s="11"/>
      <c r="G69" s="12">
        <f>G70+G83+G87</f>
        <v>375099</v>
      </c>
      <c r="H69" s="12">
        <f>H70+H83+H87</f>
        <v>75483</v>
      </c>
      <c r="I69" s="68"/>
    </row>
    <row r="70" spans="1:9" ht="15.75">
      <c r="A70" s="17" t="s">
        <v>71</v>
      </c>
      <c r="B70" s="10" t="s">
        <v>84</v>
      </c>
      <c r="C70" s="10" t="s">
        <v>53</v>
      </c>
      <c r="D70" s="10" t="s">
        <v>37</v>
      </c>
      <c r="E70" s="10"/>
      <c r="F70" s="11"/>
      <c r="G70" s="12">
        <f>G71+G74+G76+G78+G80</f>
        <v>364802</v>
      </c>
      <c r="H70" s="12">
        <f>H71+H74+H76+H78</f>
        <v>75483</v>
      </c>
      <c r="I70" s="68"/>
    </row>
    <row r="71" spans="1:9" ht="47.25">
      <c r="A71" s="17" t="s">
        <v>118</v>
      </c>
      <c r="B71" s="10" t="s">
        <v>84</v>
      </c>
      <c r="C71" s="10" t="s">
        <v>53</v>
      </c>
      <c r="D71" s="10" t="s">
        <v>37</v>
      </c>
      <c r="E71" s="10" t="s">
        <v>119</v>
      </c>
      <c r="F71" s="11"/>
      <c r="G71" s="12">
        <f>G72+G73</f>
        <v>9379</v>
      </c>
      <c r="H71" s="12">
        <f>H72+H73</f>
        <v>2453</v>
      </c>
      <c r="I71" s="68"/>
    </row>
    <row r="72" spans="1:18" ht="31.5">
      <c r="A72" s="17" t="s">
        <v>31</v>
      </c>
      <c r="B72" s="10" t="s">
        <v>84</v>
      </c>
      <c r="C72" s="10" t="s">
        <v>53</v>
      </c>
      <c r="D72" s="10" t="s">
        <v>37</v>
      </c>
      <c r="E72" s="10" t="s">
        <v>119</v>
      </c>
      <c r="F72" s="11" t="s">
        <v>110</v>
      </c>
      <c r="G72" s="12">
        <f>5044-42+1694+576+183+J72+K72+N72+Q72</f>
        <v>8879</v>
      </c>
      <c r="H72" s="12">
        <f>1684+10-10+R72</f>
        <v>2453</v>
      </c>
      <c r="I72" s="68"/>
      <c r="J72" s="1">
        <v>222</v>
      </c>
      <c r="K72" s="1">
        <f>68+88</f>
        <v>156</v>
      </c>
      <c r="N72" s="1">
        <f>-94</f>
        <v>-94</v>
      </c>
      <c r="Q72" s="1">
        <v>1140</v>
      </c>
      <c r="R72" s="1">
        <v>769</v>
      </c>
    </row>
    <row r="73" spans="1:11" ht="31.5">
      <c r="A73" s="17" t="s">
        <v>301</v>
      </c>
      <c r="B73" s="10" t="s">
        <v>84</v>
      </c>
      <c r="C73" s="10" t="s">
        <v>53</v>
      </c>
      <c r="D73" s="10" t="s">
        <v>37</v>
      </c>
      <c r="E73" s="10" t="s">
        <v>119</v>
      </c>
      <c r="F73" s="11" t="s">
        <v>302</v>
      </c>
      <c r="G73" s="12">
        <f>+K73</f>
        <v>500</v>
      </c>
      <c r="H73" s="12">
        <v>0</v>
      </c>
      <c r="I73" s="68"/>
      <c r="K73" s="1">
        <v>500</v>
      </c>
    </row>
    <row r="74" spans="1:9" ht="31.5">
      <c r="A74" s="18" t="s">
        <v>128</v>
      </c>
      <c r="B74" s="10" t="s">
        <v>84</v>
      </c>
      <c r="C74" s="10" t="s">
        <v>53</v>
      </c>
      <c r="D74" s="10" t="s">
        <v>37</v>
      </c>
      <c r="E74" s="10" t="s">
        <v>129</v>
      </c>
      <c r="F74" s="11"/>
      <c r="G74" s="12">
        <f>G75</f>
        <v>294685</v>
      </c>
      <c r="H74" s="12">
        <f>H75</f>
        <v>43279</v>
      </c>
      <c r="I74" s="68"/>
    </row>
    <row r="75" spans="1:18" ht="31.5">
      <c r="A75" s="17" t="s">
        <v>31</v>
      </c>
      <c r="B75" s="10" t="s">
        <v>84</v>
      </c>
      <c r="C75" s="10" t="s">
        <v>53</v>
      </c>
      <c r="D75" s="10" t="s">
        <v>37</v>
      </c>
      <c r="E75" s="10" t="s">
        <v>129</v>
      </c>
      <c r="F75" s="11" t="s">
        <v>110</v>
      </c>
      <c r="G75" s="12">
        <f>235233-2061+40044+J75+K75+N75+Q75</f>
        <v>294685</v>
      </c>
      <c r="H75" s="12">
        <f>39359+685-685+R75</f>
        <v>43279</v>
      </c>
      <c r="I75" s="68"/>
      <c r="J75" s="1">
        <f>455+18+1307+2793+9062</f>
        <v>13635</v>
      </c>
      <c r="K75" s="1">
        <f>368+512</f>
        <v>880</v>
      </c>
      <c r="N75" s="1">
        <f>-1312-472.7+472.7</f>
        <v>-1312</v>
      </c>
      <c r="P75" s="1">
        <v>472.7</v>
      </c>
      <c r="Q75" s="1">
        <v>8266</v>
      </c>
      <c r="R75" s="1">
        <v>3920</v>
      </c>
    </row>
    <row r="76" spans="1:9" ht="31.5">
      <c r="A76" s="17" t="s">
        <v>86</v>
      </c>
      <c r="B76" s="10" t="s">
        <v>84</v>
      </c>
      <c r="C76" s="10" t="s">
        <v>53</v>
      </c>
      <c r="D76" s="10" t="s">
        <v>37</v>
      </c>
      <c r="E76" s="10" t="s">
        <v>130</v>
      </c>
      <c r="F76" s="11"/>
      <c r="G76" s="12">
        <f>G77</f>
        <v>25186</v>
      </c>
      <c r="H76" s="12">
        <f>H77</f>
        <v>19145</v>
      </c>
      <c r="I76" s="68"/>
    </row>
    <row r="77" spans="1:18" ht="31.5">
      <c r="A77" s="17" t="s">
        <v>31</v>
      </c>
      <c r="B77" s="10" t="s">
        <v>84</v>
      </c>
      <c r="C77" s="10" t="s">
        <v>53</v>
      </c>
      <c r="D77" s="10" t="s">
        <v>37</v>
      </c>
      <c r="E77" s="10" t="s">
        <v>130</v>
      </c>
      <c r="F77" s="11" t="s">
        <v>110</v>
      </c>
      <c r="G77" s="12">
        <f>5837-368+17718+J77+K77+N77+Q77</f>
        <v>25186</v>
      </c>
      <c r="H77" s="12">
        <f>17710+8-8+R77</f>
        <v>19145</v>
      </c>
      <c r="I77" s="68"/>
      <c r="J77" s="1">
        <v>331</v>
      </c>
      <c r="K77" s="1">
        <f>104</f>
        <v>104</v>
      </c>
      <c r="N77" s="1">
        <f>3-47</f>
        <v>-44</v>
      </c>
      <c r="Q77" s="1">
        <v>1608</v>
      </c>
      <c r="R77" s="1">
        <v>1435</v>
      </c>
    </row>
    <row r="78" spans="1:9" ht="15.75">
      <c r="A78" s="17" t="s">
        <v>162</v>
      </c>
      <c r="B78" s="10" t="s">
        <v>84</v>
      </c>
      <c r="C78" s="10" t="s">
        <v>53</v>
      </c>
      <c r="D78" s="10" t="s">
        <v>37</v>
      </c>
      <c r="E78" s="10" t="s">
        <v>161</v>
      </c>
      <c r="F78" s="11"/>
      <c r="G78" s="12">
        <f>G79</f>
        <v>26079</v>
      </c>
      <c r="H78" s="12">
        <f>H79</f>
        <v>10606</v>
      </c>
      <c r="I78" s="68"/>
    </row>
    <row r="79" spans="1:17" ht="31.5">
      <c r="A79" s="17" t="s">
        <v>31</v>
      </c>
      <c r="B79" s="10" t="s">
        <v>84</v>
      </c>
      <c r="C79" s="10" t="s">
        <v>53</v>
      </c>
      <c r="D79" s="10" t="s">
        <v>37</v>
      </c>
      <c r="E79" s="10" t="s">
        <v>161</v>
      </c>
      <c r="F79" s="11" t="s">
        <v>110</v>
      </c>
      <c r="G79" s="12">
        <f>14761-929+10758+J79+K79+N79+Q79</f>
        <v>26079</v>
      </c>
      <c r="H79" s="12">
        <f>10606+152-152</f>
        <v>10606</v>
      </c>
      <c r="I79" s="68"/>
      <c r="J79" s="1">
        <v>783</v>
      </c>
      <c r="N79" s="1">
        <f>-54-100+100</f>
        <v>-54</v>
      </c>
      <c r="Q79" s="1">
        <v>760</v>
      </c>
    </row>
    <row r="80" spans="1:9" ht="15.75">
      <c r="A80" s="17" t="s">
        <v>126</v>
      </c>
      <c r="B80" s="10" t="s">
        <v>84</v>
      </c>
      <c r="C80" s="10" t="s">
        <v>53</v>
      </c>
      <c r="D80" s="10" t="s">
        <v>37</v>
      </c>
      <c r="E80" s="10" t="s">
        <v>127</v>
      </c>
      <c r="F80" s="11"/>
      <c r="G80" s="12">
        <f>G81</f>
        <v>9473</v>
      </c>
      <c r="H80" s="12">
        <f>H81</f>
        <v>0</v>
      </c>
      <c r="I80" s="68"/>
    </row>
    <row r="81" spans="1:17" ht="31.5">
      <c r="A81" s="17" t="s">
        <v>31</v>
      </c>
      <c r="B81" s="10" t="s">
        <v>84</v>
      </c>
      <c r="C81" s="10" t="s">
        <v>53</v>
      </c>
      <c r="D81" s="10" t="s">
        <v>37</v>
      </c>
      <c r="E81" s="10" t="s">
        <v>127</v>
      </c>
      <c r="F81" s="11" t="s">
        <v>110</v>
      </c>
      <c r="G81" s="12">
        <f>2800+4000+3400+K81+N81+Q81</f>
        <v>9473</v>
      </c>
      <c r="H81" s="12">
        <v>0</v>
      </c>
      <c r="I81" s="68"/>
      <c r="K81" s="1">
        <v>1351</v>
      </c>
      <c r="N81" s="1">
        <f>-109-1370-21-100</f>
        <v>-1600</v>
      </c>
      <c r="Q81" s="1">
        <v>-478</v>
      </c>
    </row>
    <row r="82" spans="1:9" ht="15.75">
      <c r="A82" s="17"/>
      <c r="B82" s="10"/>
      <c r="C82" s="10"/>
      <c r="D82" s="10"/>
      <c r="E82" s="10"/>
      <c r="F82" s="11"/>
      <c r="G82" s="12"/>
      <c r="H82" s="12"/>
      <c r="I82" s="68"/>
    </row>
    <row r="83" spans="1:9" ht="15.75">
      <c r="A83" s="14" t="s">
        <v>72</v>
      </c>
      <c r="B83" s="10" t="s">
        <v>84</v>
      </c>
      <c r="C83" s="15" t="s">
        <v>53</v>
      </c>
      <c r="D83" s="15" t="s">
        <v>38</v>
      </c>
      <c r="E83" s="15"/>
      <c r="F83" s="16"/>
      <c r="G83" s="12">
        <f>G84</f>
        <v>1682</v>
      </c>
      <c r="H83" s="12">
        <f>H84</f>
        <v>0</v>
      </c>
      <c r="I83" s="68"/>
    </row>
    <row r="84" spans="1:9" ht="31.5">
      <c r="A84" s="14" t="s">
        <v>95</v>
      </c>
      <c r="B84" s="10" t="s">
        <v>84</v>
      </c>
      <c r="C84" s="15" t="s">
        <v>53</v>
      </c>
      <c r="D84" s="15" t="s">
        <v>38</v>
      </c>
      <c r="E84" s="15" t="s">
        <v>96</v>
      </c>
      <c r="F84" s="16"/>
      <c r="G84" s="12">
        <f>G85</f>
        <v>1682</v>
      </c>
      <c r="H84" s="12">
        <f>H85</f>
        <v>0</v>
      </c>
      <c r="I84" s="68"/>
    </row>
    <row r="85" spans="1:16" ht="15.75">
      <c r="A85" s="17" t="s">
        <v>120</v>
      </c>
      <c r="B85" s="10" t="s">
        <v>84</v>
      </c>
      <c r="C85" s="10" t="s">
        <v>53</v>
      </c>
      <c r="D85" s="10" t="s">
        <v>38</v>
      </c>
      <c r="E85" s="10" t="s">
        <v>96</v>
      </c>
      <c r="F85" s="11" t="s">
        <v>101</v>
      </c>
      <c r="G85" s="12">
        <f>+N85</f>
        <v>1682</v>
      </c>
      <c r="H85" s="12">
        <v>0</v>
      </c>
      <c r="I85" s="68"/>
      <c r="N85" s="1">
        <f>1682-82+82</f>
        <v>1682</v>
      </c>
      <c r="P85" s="1">
        <v>82.5</v>
      </c>
    </row>
    <row r="86" spans="1:9" ht="15.75">
      <c r="A86" s="17"/>
      <c r="B86" s="10"/>
      <c r="C86" s="10"/>
      <c r="D86" s="10"/>
      <c r="E86" s="10"/>
      <c r="F86" s="11"/>
      <c r="G86" s="12"/>
      <c r="H86" s="12"/>
      <c r="I86" s="68"/>
    </row>
    <row r="87" spans="1:9" ht="31.5">
      <c r="A87" s="13" t="s">
        <v>73</v>
      </c>
      <c r="B87" s="10" t="s">
        <v>84</v>
      </c>
      <c r="C87" s="10" t="s">
        <v>53</v>
      </c>
      <c r="D87" s="10" t="s">
        <v>57</v>
      </c>
      <c r="E87" s="10"/>
      <c r="F87" s="11"/>
      <c r="G87" s="12">
        <f>G88</f>
        <v>8615</v>
      </c>
      <c r="H87" s="12">
        <f>H88</f>
        <v>0</v>
      </c>
      <c r="I87" s="68"/>
    </row>
    <row r="88" spans="1:9" ht="31.5">
      <c r="A88" s="13" t="s">
        <v>81</v>
      </c>
      <c r="B88" s="10" t="s">
        <v>84</v>
      </c>
      <c r="C88" s="10" t="s">
        <v>53</v>
      </c>
      <c r="D88" s="10" t="s">
        <v>57</v>
      </c>
      <c r="E88" s="10" t="s">
        <v>82</v>
      </c>
      <c r="F88" s="11"/>
      <c r="G88" s="12">
        <f>G89+G90</f>
        <v>8615</v>
      </c>
      <c r="H88" s="12">
        <f>H89</f>
        <v>0</v>
      </c>
      <c r="I88" s="68"/>
    </row>
    <row r="89" spans="1:17" ht="15.75">
      <c r="A89" s="14" t="s">
        <v>22</v>
      </c>
      <c r="B89" s="15" t="s">
        <v>84</v>
      </c>
      <c r="C89" s="15" t="s">
        <v>53</v>
      </c>
      <c r="D89" s="15" t="s">
        <v>57</v>
      </c>
      <c r="E89" s="15" t="s">
        <v>82</v>
      </c>
      <c r="F89" s="16" t="s">
        <v>23</v>
      </c>
      <c r="G89" s="12">
        <f>8445+200+K89+N89+S89+Q89</f>
        <v>8615</v>
      </c>
      <c r="H89" s="12">
        <v>0</v>
      </c>
      <c r="I89" s="68"/>
      <c r="K89" s="1">
        <f>-380-50</f>
        <v>-430</v>
      </c>
      <c r="N89" s="1">
        <v>-100</v>
      </c>
      <c r="Q89" s="1">
        <v>500</v>
      </c>
    </row>
    <row r="90" spans="1:9" ht="15.75">
      <c r="A90" s="14"/>
      <c r="B90" s="15"/>
      <c r="C90" s="15"/>
      <c r="D90" s="15"/>
      <c r="E90" s="15"/>
      <c r="F90" s="16"/>
      <c r="G90" s="12"/>
      <c r="H90" s="12"/>
      <c r="I90" s="68"/>
    </row>
    <row r="91" spans="1:9" ht="15.75">
      <c r="A91" s="17"/>
      <c r="B91" s="10"/>
      <c r="C91" s="10"/>
      <c r="D91" s="10"/>
      <c r="E91" s="10"/>
      <c r="F91" s="11"/>
      <c r="G91" s="12"/>
      <c r="H91" s="12"/>
      <c r="I91" s="68"/>
    </row>
    <row r="92" spans="1:18" ht="15.75">
      <c r="A92" s="9" t="s">
        <v>163</v>
      </c>
      <c r="B92" s="10" t="s">
        <v>89</v>
      </c>
      <c r="C92" s="10"/>
      <c r="D92" s="10"/>
      <c r="E92" s="10"/>
      <c r="F92" s="11"/>
      <c r="G92" s="12">
        <f>G93+G100</f>
        <v>66919</v>
      </c>
      <c r="H92" s="12">
        <f>H93+H100</f>
        <v>9789</v>
      </c>
      <c r="I92" s="68"/>
      <c r="J92" s="1">
        <f>SUM(J93:J121)</f>
        <v>4097</v>
      </c>
      <c r="K92" s="1">
        <f>SUM(K93:K121)</f>
        <v>1604</v>
      </c>
      <c r="N92" s="1">
        <f>SUM(N93:N121)</f>
        <v>-52</v>
      </c>
      <c r="O92" s="1">
        <f>SUM(O93:O121)</f>
        <v>648</v>
      </c>
      <c r="Q92" s="2">
        <f>SUM(Q93:Q121)</f>
        <v>2052</v>
      </c>
      <c r="R92" s="1">
        <f>SUM(R93:R121)</f>
        <v>735</v>
      </c>
    </row>
    <row r="93" spans="1:9" ht="15.75">
      <c r="A93" s="17" t="s">
        <v>85</v>
      </c>
      <c r="B93" s="10" t="s">
        <v>89</v>
      </c>
      <c r="C93" s="10" t="s">
        <v>43</v>
      </c>
      <c r="D93" s="10"/>
      <c r="E93" s="10"/>
      <c r="F93" s="11"/>
      <c r="G93" s="12">
        <f aca="true" t="shared" si="5" ref="G93:H95">G94</f>
        <v>31411</v>
      </c>
      <c r="H93" s="12">
        <f t="shared" si="5"/>
        <v>4508</v>
      </c>
      <c r="I93" s="68"/>
    </row>
    <row r="94" spans="1:9" ht="15.75">
      <c r="A94" s="17" t="s">
        <v>66</v>
      </c>
      <c r="B94" s="10" t="s">
        <v>89</v>
      </c>
      <c r="C94" s="10" t="s">
        <v>43</v>
      </c>
      <c r="D94" s="10" t="s">
        <v>38</v>
      </c>
      <c r="E94" s="10"/>
      <c r="F94" s="11"/>
      <c r="G94" s="12">
        <f>G95+G97</f>
        <v>31411</v>
      </c>
      <c r="H94" s="12">
        <f t="shared" si="5"/>
        <v>4508</v>
      </c>
      <c r="I94" s="68"/>
    </row>
    <row r="95" spans="1:9" ht="31.5">
      <c r="A95" s="17" t="s">
        <v>90</v>
      </c>
      <c r="B95" s="10" t="s">
        <v>89</v>
      </c>
      <c r="C95" s="10" t="s">
        <v>43</v>
      </c>
      <c r="D95" s="10" t="s">
        <v>38</v>
      </c>
      <c r="E95" s="10" t="s">
        <v>131</v>
      </c>
      <c r="F95" s="11"/>
      <c r="G95" s="12">
        <f t="shared" si="5"/>
        <v>31111</v>
      </c>
      <c r="H95" s="12">
        <f t="shared" si="5"/>
        <v>4508</v>
      </c>
      <c r="I95" s="68"/>
    </row>
    <row r="96" spans="1:18" ht="31.5">
      <c r="A96" s="17" t="s">
        <v>31</v>
      </c>
      <c r="B96" s="10" t="s">
        <v>89</v>
      </c>
      <c r="C96" s="10" t="s">
        <v>43</v>
      </c>
      <c r="D96" s="10" t="s">
        <v>38</v>
      </c>
      <c r="E96" s="10" t="s">
        <v>131</v>
      </c>
      <c r="F96" s="11" t="s">
        <v>110</v>
      </c>
      <c r="G96" s="12">
        <f>23929+400+3794-400+J96+K96+N96+Q96</f>
        <v>31111</v>
      </c>
      <c r="H96" s="12">
        <f>3794-50+O96+R96</f>
        <v>4508</v>
      </c>
      <c r="I96" s="68"/>
      <c r="J96" s="1">
        <v>2238</v>
      </c>
      <c r="K96" s="1">
        <v>105</v>
      </c>
      <c r="N96" s="1">
        <f>O96-300</f>
        <v>-158</v>
      </c>
      <c r="O96" s="1">
        <v>142</v>
      </c>
      <c r="Q96" s="1">
        <v>1203</v>
      </c>
      <c r="R96" s="1">
        <v>622</v>
      </c>
    </row>
    <row r="97" spans="1:9" ht="15.75">
      <c r="A97" s="17" t="s">
        <v>126</v>
      </c>
      <c r="B97" s="10" t="s">
        <v>89</v>
      </c>
      <c r="C97" s="10" t="s">
        <v>43</v>
      </c>
      <c r="D97" s="10" t="s">
        <v>38</v>
      </c>
      <c r="E97" s="10" t="s">
        <v>127</v>
      </c>
      <c r="F97" s="11"/>
      <c r="G97" s="12">
        <f>G98</f>
        <v>300</v>
      </c>
      <c r="H97" s="12">
        <f>H98</f>
        <v>0</v>
      </c>
      <c r="I97" s="68"/>
    </row>
    <row r="98" spans="1:14" ht="31.5">
      <c r="A98" s="17" t="s">
        <v>31</v>
      </c>
      <c r="B98" s="10" t="s">
        <v>89</v>
      </c>
      <c r="C98" s="10" t="s">
        <v>43</v>
      </c>
      <c r="D98" s="10" t="s">
        <v>38</v>
      </c>
      <c r="E98" s="10" t="s">
        <v>127</v>
      </c>
      <c r="F98" s="11" t="s">
        <v>110</v>
      </c>
      <c r="G98" s="12">
        <f>400+N98</f>
        <v>300</v>
      </c>
      <c r="H98" s="12">
        <v>0</v>
      </c>
      <c r="I98" s="68"/>
      <c r="N98" s="1">
        <v>-100</v>
      </c>
    </row>
    <row r="99" spans="1:9" ht="15.75">
      <c r="A99" s="17"/>
      <c r="B99" s="10"/>
      <c r="C99" s="10"/>
      <c r="D99" s="10"/>
      <c r="E99" s="10"/>
      <c r="F99" s="11"/>
      <c r="G99" s="12"/>
      <c r="H99" s="12"/>
      <c r="I99" s="68"/>
    </row>
    <row r="100" spans="1:9" ht="31.5">
      <c r="A100" s="13" t="s">
        <v>223</v>
      </c>
      <c r="B100" s="10" t="s">
        <v>89</v>
      </c>
      <c r="C100" s="10" t="s">
        <v>61</v>
      </c>
      <c r="D100" s="10"/>
      <c r="E100" s="10"/>
      <c r="F100" s="11"/>
      <c r="G100" s="12">
        <f>G101+G113+G117</f>
        <v>35508</v>
      </c>
      <c r="H100" s="12">
        <f>H101+H113+H117</f>
        <v>5281</v>
      </c>
      <c r="I100" s="68"/>
    </row>
    <row r="101" spans="1:9" ht="15.75">
      <c r="A101" s="13" t="s">
        <v>68</v>
      </c>
      <c r="B101" s="10" t="s">
        <v>89</v>
      </c>
      <c r="C101" s="10" t="s">
        <v>61</v>
      </c>
      <c r="D101" s="10" t="s">
        <v>37</v>
      </c>
      <c r="E101" s="10"/>
      <c r="F101" s="11"/>
      <c r="G101" s="12">
        <f>G102+G104+G106+G108+G110</f>
        <v>30964</v>
      </c>
      <c r="H101" s="12">
        <f>H102+H104+H106+H108+H110</f>
        <v>5281</v>
      </c>
      <c r="I101" s="68"/>
    </row>
    <row r="102" spans="1:9" ht="15.75">
      <c r="A102" s="13" t="s">
        <v>91</v>
      </c>
      <c r="B102" s="10" t="s">
        <v>89</v>
      </c>
      <c r="C102" s="10" t="s">
        <v>61</v>
      </c>
      <c r="D102" s="10" t="s">
        <v>37</v>
      </c>
      <c r="E102" s="10" t="s">
        <v>27</v>
      </c>
      <c r="F102" s="11"/>
      <c r="G102" s="12">
        <f>G103</f>
        <v>2537</v>
      </c>
      <c r="H102" s="12">
        <f>H103</f>
        <v>241</v>
      </c>
      <c r="I102" s="68"/>
    </row>
    <row r="103" spans="1:18" ht="31.5">
      <c r="A103" s="17" t="s">
        <v>31</v>
      </c>
      <c r="B103" s="10" t="s">
        <v>89</v>
      </c>
      <c r="C103" s="10" t="s">
        <v>61</v>
      </c>
      <c r="D103" s="10" t="s">
        <v>37</v>
      </c>
      <c r="E103" s="10" t="s">
        <v>27</v>
      </c>
      <c r="F103" s="11" t="s">
        <v>110</v>
      </c>
      <c r="G103" s="12">
        <f>1945+59+260-20-120+J103+K103+L103+N103+Q103</f>
        <v>2537</v>
      </c>
      <c r="H103" s="12">
        <f>260-120+M103+O103+R103</f>
        <v>241</v>
      </c>
      <c r="I103" s="68"/>
      <c r="J103" s="1">
        <v>136</v>
      </c>
      <c r="K103" s="1">
        <v>135</v>
      </c>
      <c r="L103" s="1">
        <v>200</v>
      </c>
      <c r="M103" s="1">
        <v>200</v>
      </c>
      <c r="N103" s="1">
        <f>O103</f>
        <v>-140</v>
      </c>
      <c r="O103" s="1">
        <f>-200+60</f>
        <v>-140</v>
      </c>
      <c r="Q103" s="1">
        <v>82</v>
      </c>
      <c r="R103" s="1">
        <v>41</v>
      </c>
    </row>
    <row r="104" spans="1:9" ht="15.75">
      <c r="A104" s="13" t="s">
        <v>92</v>
      </c>
      <c r="B104" s="10" t="s">
        <v>89</v>
      </c>
      <c r="C104" s="10" t="s">
        <v>61</v>
      </c>
      <c r="D104" s="10" t="s">
        <v>37</v>
      </c>
      <c r="E104" s="10" t="s">
        <v>132</v>
      </c>
      <c r="F104" s="11"/>
      <c r="G104" s="12">
        <f>G105</f>
        <v>13751</v>
      </c>
      <c r="H104" s="12">
        <f>H105</f>
        <v>579</v>
      </c>
      <c r="I104" s="68"/>
    </row>
    <row r="105" spans="1:18" ht="31.5">
      <c r="A105" s="17" t="s">
        <v>31</v>
      </c>
      <c r="B105" s="10" t="s">
        <v>89</v>
      </c>
      <c r="C105" s="10" t="s">
        <v>61</v>
      </c>
      <c r="D105" s="10" t="s">
        <v>37</v>
      </c>
      <c r="E105" s="10" t="s">
        <v>132</v>
      </c>
      <c r="F105" s="11" t="s">
        <v>110</v>
      </c>
      <c r="G105" s="12">
        <f>10393+41+500+J105+K105+N105+Q105</f>
        <v>13751</v>
      </c>
      <c r="H105" s="12">
        <f>500+O105+R105</f>
        <v>579</v>
      </c>
      <c r="I105" s="68"/>
      <c r="J105" s="1">
        <f>360+732</f>
        <v>1092</v>
      </c>
      <c r="K105" s="1">
        <f>500+600+330</f>
        <v>1430</v>
      </c>
      <c r="N105" s="1">
        <f>O105-360+360</f>
        <v>77</v>
      </c>
      <c r="O105" s="1">
        <v>77</v>
      </c>
      <c r="P105" s="1">
        <v>360</v>
      </c>
      <c r="Q105" s="1">
        <v>218</v>
      </c>
      <c r="R105" s="1">
        <v>2</v>
      </c>
    </row>
    <row r="106" spans="1:9" ht="47.25">
      <c r="A106" s="13" t="s">
        <v>1</v>
      </c>
      <c r="B106" s="10" t="s">
        <v>89</v>
      </c>
      <c r="C106" s="10" t="s">
        <v>61</v>
      </c>
      <c r="D106" s="10" t="s">
        <v>37</v>
      </c>
      <c r="E106" s="10" t="s">
        <v>2</v>
      </c>
      <c r="F106" s="11"/>
      <c r="G106" s="12">
        <f>G107</f>
        <v>12622</v>
      </c>
      <c r="H106" s="12">
        <f>H107</f>
        <v>4071</v>
      </c>
      <c r="I106" s="68"/>
    </row>
    <row r="107" spans="1:18" ht="31.5">
      <c r="A107" s="17" t="s">
        <v>31</v>
      </c>
      <c r="B107" s="10" t="s">
        <v>89</v>
      </c>
      <c r="C107" s="10" t="s">
        <v>61</v>
      </c>
      <c r="D107" s="10" t="s">
        <v>37</v>
      </c>
      <c r="E107" s="10" t="s">
        <v>2</v>
      </c>
      <c r="F107" s="11" t="s">
        <v>110</v>
      </c>
      <c r="G107" s="12">
        <f>7276+3726+J107+K107+N107+Q107</f>
        <v>12622</v>
      </c>
      <c r="H107" s="12">
        <f>3726-94+O107+R107</f>
        <v>4071</v>
      </c>
      <c r="I107" s="68"/>
      <c r="J107" s="1">
        <v>560</v>
      </c>
      <c r="K107" s="1">
        <f>400+65</f>
        <v>465</v>
      </c>
      <c r="N107" s="1">
        <f>O107</f>
        <v>369</v>
      </c>
      <c r="O107" s="1">
        <f>72+28+269</f>
        <v>369</v>
      </c>
      <c r="Q107" s="1">
        <v>226</v>
      </c>
      <c r="R107" s="1">
        <v>70</v>
      </c>
    </row>
    <row r="108" spans="1:9" ht="47.25">
      <c r="A108" s="13" t="s">
        <v>156</v>
      </c>
      <c r="B108" s="10" t="s">
        <v>89</v>
      </c>
      <c r="C108" s="10" t="s">
        <v>61</v>
      </c>
      <c r="D108" s="10" t="s">
        <v>37</v>
      </c>
      <c r="E108" s="10" t="s">
        <v>133</v>
      </c>
      <c r="F108" s="11"/>
      <c r="G108" s="12">
        <f>SUM(G109:G109)</f>
        <v>1643</v>
      </c>
      <c r="H108" s="12">
        <f>SUM(H109:H109)</f>
        <v>70</v>
      </c>
      <c r="I108" s="68"/>
    </row>
    <row r="109" spans="1:17" ht="47.25">
      <c r="A109" s="17" t="s">
        <v>97</v>
      </c>
      <c r="B109" s="10" t="s">
        <v>89</v>
      </c>
      <c r="C109" s="10" t="s">
        <v>61</v>
      </c>
      <c r="D109" s="10" t="s">
        <v>37</v>
      </c>
      <c r="E109" s="10" t="s">
        <v>133</v>
      </c>
      <c r="F109" s="11" t="s">
        <v>3</v>
      </c>
      <c r="G109" s="12">
        <f>1600+70-200+Q109</f>
        <v>1643</v>
      </c>
      <c r="H109" s="12">
        <f>70+R109</f>
        <v>70</v>
      </c>
      <c r="I109" s="68"/>
      <c r="Q109" s="1">
        <v>173</v>
      </c>
    </row>
    <row r="110" spans="1:9" ht="15.75">
      <c r="A110" s="17" t="s">
        <v>126</v>
      </c>
      <c r="B110" s="10" t="s">
        <v>89</v>
      </c>
      <c r="C110" s="10" t="s">
        <v>61</v>
      </c>
      <c r="D110" s="10" t="s">
        <v>37</v>
      </c>
      <c r="E110" s="10" t="s">
        <v>127</v>
      </c>
      <c r="F110" s="11"/>
      <c r="G110" s="12">
        <f>G111</f>
        <v>411</v>
      </c>
      <c r="H110" s="12">
        <f>H111</f>
        <v>320</v>
      </c>
      <c r="I110" s="68"/>
    </row>
    <row r="111" spans="1:16" ht="31.5">
      <c r="A111" s="17" t="s">
        <v>31</v>
      </c>
      <c r="B111" s="10" t="s">
        <v>89</v>
      </c>
      <c r="C111" s="10" t="s">
        <v>61</v>
      </c>
      <c r="D111" s="10" t="s">
        <v>37</v>
      </c>
      <c r="E111" s="10" t="s">
        <v>127</v>
      </c>
      <c r="F111" s="11" t="s">
        <v>110</v>
      </c>
      <c r="G111" s="12">
        <f>20+120+J111+N111</f>
        <v>411</v>
      </c>
      <c r="H111" s="12">
        <f>120+O111</f>
        <v>320</v>
      </c>
      <c r="I111" s="68"/>
      <c r="J111" s="1">
        <v>71</v>
      </c>
      <c r="N111" s="1">
        <f>O111-71+71</f>
        <v>200</v>
      </c>
      <c r="O111" s="1">
        <v>200</v>
      </c>
      <c r="P111" s="1">
        <v>71.2</v>
      </c>
    </row>
    <row r="112" spans="1:9" ht="15.75">
      <c r="A112" s="20"/>
      <c r="B112" s="10"/>
      <c r="C112" s="10"/>
      <c r="D112" s="10"/>
      <c r="E112" s="10"/>
      <c r="F112" s="11"/>
      <c r="G112" s="12"/>
      <c r="H112" s="12"/>
      <c r="I112" s="68"/>
    </row>
    <row r="113" spans="1:9" ht="15.75">
      <c r="A113" s="13" t="s">
        <v>93</v>
      </c>
      <c r="B113" s="10" t="s">
        <v>89</v>
      </c>
      <c r="C113" s="10" t="s">
        <v>61</v>
      </c>
      <c r="D113" s="10" t="s">
        <v>38</v>
      </c>
      <c r="E113" s="10"/>
      <c r="F113" s="11"/>
      <c r="G113" s="12">
        <f>G114</f>
        <v>450</v>
      </c>
      <c r="H113" s="12">
        <f>H114</f>
        <v>0</v>
      </c>
      <c r="I113" s="68"/>
    </row>
    <row r="114" spans="1:9" ht="47.25">
      <c r="A114" s="13" t="s">
        <v>156</v>
      </c>
      <c r="B114" s="10" t="s">
        <v>89</v>
      </c>
      <c r="C114" s="10" t="s">
        <v>61</v>
      </c>
      <c r="D114" s="10" t="s">
        <v>38</v>
      </c>
      <c r="E114" s="10" t="s">
        <v>133</v>
      </c>
      <c r="F114" s="11"/>
      <c r="G114" s="12">
        <f>G115</f>
        <v>450</v>
      </c>
      <c r="H114" s="12">
        <f>H115</f>
        <v>0</v>
      </c>
      <c r="I114" s="68"/>
    </row>
    <row r="115" spans="1:14" ht="15.75">
      <c r="A115" s="13" t="s">
        <v>120</v>
      </c>
      <c r="B115" s="10" t="s">
        <v>89</v>
      </c>
      <c r="C115" s="10" t="s">
        <v>61</v>
      </c>
      <c r="D115" s="10" t="s">
        <v>59</v>
      </c>
      <c r="E115" s="10" t="s">
        <v>133</v>
      </c>
      <c r="F115" s="11" t="s">
        <v>101</v>
      </c>
      <c r="G115" s="12">
        <f>650+N115</f>
        <v>450</v>
      </c>
      <c r="H115" s="12">
        <v>0</v>
      </c>
      <c r="I115" s="68"/>
      <c r="N115" s="1">
        <v>-200</v>
      </c>
    </row>
    <row r="116" spans="1:9" ht="15.75">
      <c r="A116" s="13"/>
      <c r="B116" s="10"/>
      <c r="C116" s="10"/>
      <c r="D116" s="10"/>
      <c r="E116" s="10"/>
      <c r="F116" s="11"/>
      <c r="G116" s="12"/>
      <c r="H116" s="12"/>
      <c r="I116" s="68"/>
    </row>
    <row r="117" spans="1:9" ht="47.25">
      <c r="A117" s="13" t="s">
        <v>157</v>
      </c>
      <c r="B117" s="10" t="s">
        <v>89</v>
      </c>
      <c r="C117" s="10" t="s">
        <v>61</v>
      </c>
      <c r="D117" s="10" t="s">
        <v>59</v>
      </c>
      <c r="E117" s="10"/>
      <c r="F117" s="11"/>
      <c r="G117" s="12">
        <f>G118+G120</f>
        <v>4094</v>
      </c>
      <c r="H117" s="12">
        <f>H118+H120</f>
        <v>0</v>
      </c>
      <c r="I117" s="68"/>
    </row>
    <row r="118" spans="1:9" ht="31.5">
      <c r="A118" s="13" t="s">
        <v>81</v>
      </c>
      <c r="B118" s="10" t="s">
        <v>89</v>
      </c>
      <c r="C118" s="10" t="s">
        <v>61</v>
      </c>
      <c r="D118" s="10" t="s">
        <v>59</v>
      </c>
      <c r="E118" s="10" t="s">
        <v>82</v>
      </c>
      <c r="F118" s="11"/>
      <c r="G118" s="12">
        <f>G119</f>
        <v>2442</v>
      </c>
      <c r="H118" s="12">
        <f>H119</f>
        <v>0</v>
      </c>
      <c r="I118" s="68"/>
    </row>
    <row r="119" spans="1:17" ht="15.75">
      <c r="A119" s="14" t="s">
        <v>22</v>
      </c>
      <c r="B119" s="15" t="s">
        <v>89</v>
      </c>
      <c r="C119" s="15" t="s">
        <v>61</v>
      </c>
      <c r="D119" s="15" t="s">
        <v>59</v>
      </c>
      <c r="E119" s="15" t="s">
        <v>82</v>
      </c>
      <c r="F119" s="16" t="s">
        <v>23</v>
      </c>
      <c r="G119" s="12">
        <f>2873+200+K119+N119+S119+Q119</f>
        <v>2442</v>
      </c>
      <c r="H119" s="12">
        <v>0</v>
      </c>
      <c r="I119" s="68"/>
      <c r="K119" s="1">
        <f>-631-50</f>
        <v>-681</v>
      </c>
      <c r="N119" s="1">
        <v>-100</v>
      </c>
      <c r="Q119" s="1">
        <v>150</v>
      </c>
    </row>
    <row r="120" spans="1:9" ht="47.25">
      <c r="A120" s="13" t="s">
        <v>231</v>
      </c>
      <c r="B120" s="10" t="s">
        <v>89</v>
      </c>
      <c r="C120" s="10" t="s">
        <v>61</v>
      </c>
      <c r="D120" s="10" t="s">
        <v>59</v>
      </c>
      <c r="E120" s="10" t="s">
        <v>232</v>
      </c>
      <c r="F120" s="11"/>
      <c r="G120" s="12">
        <f>G121</f>
        <v>1652</v>
      </c>
      <c r="H120" s="12">
        <f>H121</f>
        <v>0</v>
      </c>
      <c r="I120" s="68"/>
    </row>
    <row r="121" spans="1:11" ht="15.75">
      <c r="A121" s="13" t="s">
        <v>120</v>
      </c>
      <c r="B121" s="10" t="s">
        <v>89</v>
      </c>
      <c r="C121" s="10" t="s">
        <v>61</v>
      </c>
      <c r="D121" s="10" t="s">
        <v>59</v>
      </c>
      <c r="E121" s="10" t="s">
        <v>232</v>
      </c>
      <c r="F121" s="11" t="s">
        <v>101</v>
      </c>
      <c r="G121" s="12">
        <f>1302+200+K121</f>
        <v>1652</v>
      </c>
      <c r="H121" s="12">
        <v>0</v>
      </c>
      <c r="I121" s="68"/>
      <c r="K121" s="1">
        <v>150</v>
      </c>
    </row>
    <row r="122" spans="1:9" ht="15.75">
      <c r="A122" s="13"/>
      <c r="B122" s="10"/>
      <c r="C122" s="10"/>
      <c r="D122" s="10"/>
      <c r="E122" s="10"/>
      <c r="F122" s="11"/>
      <c r="G122" s="12"/>
      <c r="H122" s="12"/>
      <c r="I122" s="68"/>
    </row>
    <row r="123" spans="1:14" ht="47.25" hidden="1">
      <c r="A123" s="9" t="s">
        <v>219</v>
      </c>
      <c r="B123" s="10" t="s">
        <v>220</v>
      </c>
      <c r="C123" s="10"/>
      <c r="D123" s="10"/>
      <c r="E123" s="10"/>
      <c r="F123" s="11"/>
      <c r="G123" s="12">
        <f aca="true" t="shared" si="6" ref="G123:H126">G124</f>
        <v>0</v>
      </c>
      <c r="H123" s="12">
        <f t="shared" si="6"/>
        <v>0</v>
      </c>
      <c r="I123" s="68"/>
      <c r="N123" s="1">
        <f>SUM(N124:N127)</f>
        <v>-275</v>
      </c>
    </row>
    <row r="124" spans="1:9" ht="15.75" hidden="1">
      <c r="A124" s="13" t="s">
        <v>25</v>
      </c>
      <c r="B124" s="10" t="s">
        <v>220</v>
      </c>
      <c r="C124" s="10" t="s">
        <v>57</v>
      </c>
      <c r="D124" s="10"/>
      <c r="E124" s="10"/>
      <c r="F124" s="11"/>
      <c r="G124" s="12">
        <f t="shared" si="6"/>
        <v>0</v>
      </c>
      <c r="H124" s="12">
        <f t="shared" si="6"/>
        <v>0</v>
      </c>
      <c r="I124" s="68"/>
    </row>
    <row r="125" spans="1:9" ht="31.5" hidden="1">
      <c r="A125" s="13" t="s">
        <v>62</v>
      </c>
      <c r="B125" s="10" t="s">
        <v>220</v>
      </c>
      <c r="C125" s="10" t="s">
        <v>57</v>
      </c>
      <c r="D125" s="10" t="s">
        <v>63</v>
      </c>
      <c r="E125" s="10"/>
      <c r="F125" s="11"/>
      <c r="G125" s="12">
        <f t="shared" si="6"/>
        <v>0</v>
      </c>
      <c r="H125" s="12">
        <f t="shared" si="6"/>
        <v>0</v>
      </c>
      <c r="I125" s="68"/>
    </row>
    <row r="126" spans="1:9" ht="15.75" hidden="1">
      <c r="A126" s="13" t="s">
        <v>222</v>
      </c>
      <c r="B126" s="10" t="s">
        <v>220</v>
      </c>
      <c r="C126" s="10" t="s">
        <v>57</v>
      </c>
      <c r="D126" s="10" t="s">
        <v>63</v>
      </c>
      <c r="E126" s="10" t="s">
        <v>221</v>
      </c>
      <c r="F126" s="11"/>
      <c r="G126" s="12">
        <f t="shared" si="6"/>
        <v>0</v>
      </c>
      <c r="H126" s="12">
        <f t="shared" si="6"/>
        <v>0</v>
      </c>
      <c r="I126" s="68"/>
    </row>
    <row r="127" spans="1:14" ht="31.5" hidden="1">
      <c r="A127" s="13" t="s">
        <v>13</v>
      </c>
      <c r="B127" s="10" t="s">
        <v>220</v>
      </c>
      <c r="C127" s="10" t="s">
        <v>57</v>
      </c>
      <c r="D127" s="10" t="s">
        <v>63</v>
      </c>
      <c r="E127" s="10" t="s">
        <v>221</v>
      </c>
      <c r="F127" s="11" t="s">
        <v>14</v>
      </c>
      <c r="G127" s="12">
        <f>275+N127</f>
        <v>0</v>
      </c>
      <c r="H127" s="12">
        <v>0</v>
      </c>
      <c r="I127" s="68"/>
      <c r="N127" s="1">
        <v>-275</v>
      </c>
    </row>
    <row r="128" spans="1:9" ht="15.75" hidden="1">
      <c r="A128" s="13"/>
      <c r="B128" s="10"/>
      <c r="C128" s="10"/>
      <c r="D128" s="10"/>
      <c r="E128" s="10"/>
      <c r="F128" s="11"/>
      <c r="G128" s="12"/>
      <c r="H128" s="12"/>
      <c r="I128" s="68"/>
    </row>
    <row r="129" spans="1:18" ht="15.75">
      <c r="A129" s="9" t="s">
        <v>164</v>
      </c>
      <c r="B129" s="10" t="s">
        <v>98</v>
      </c>
      <c r="C129" s="10"/>
      <c r="D129" s="10"/>
      <c r="E129" s="10"/>
      <c r="F129" s="11"/>
      <c r="G129" s="12">
        <f>G130</f>
        <v>825065</v>
      </c>
      <c r="H129" s="12">
        <f>H130</f>
        <v>46104</v>
      </c>
      <c r="I129" s="68">
        <f>I137</f>
        <v>314653</v>
      </c>
      <c r="J129" s="1">
        <f>SUM(J130:J158)</f>
        <v>54358</v>
      </c>
      <c r="K129" s="1">
        <f>SUM(K131:K158)</f>
        <v>3620</v>
      </c>
      <c r="N129" s="1">
        <f>SUM(N130:N158)</f>
        <v>-6715</v>
      </c>
      <c r="O129" s="1">
        <f>SUM(O130:O158)</f>
        <v>190</v>
      </c>
      <c r="P129" s="87"/>
      <c r="Q129" s="2">
        <f>SUM(Q130:Q159)</f>
        <v>10831</v>
      </c>
      <c r="R129" s="1">
        <f>SUM(R130:R159)</f>
        <v>3721</v>
      </c>
    </row>
    <row r="130" spans="1:9" ht="15.75">
      <c r="A130" s="13" t="s">
        <v>85</v>
      </c>
      <c r="B130" s="10" t="s">
        <v>98</v>
      </c>
      <c r="C130" s="10" t="s">
        <v>43</v>
      </c>
      <c r="D130" s="10"/>
      <c r="E130" s="10"/>
      <c r="F130" s="11"/>
      <c r="G130" s="12">
        <f>G131+G137+G147+G153</f>
        <v>825065</v>
      </c>
      <c r="H130" s="12">
        <f>H131+H137+H147+H153</f>
        <v>46104</v>
      </c>
      <c r="I130" s="68"/>
    </row>
    <row r="131" spans="1:9" ht="15.75">
      <c r="A131" s="13" t="s">
        <v>167</v>
      </c>
      <c r="B131" s="10" t="s">
        <v>98</v>
      </c>
      <c r="C131" s="10" t="s">
        <v>43</v>
      </c>
      <c r="D131" s="10" t="s">
        <v>37</v>
      </c>
      <c r="E131" s="10"/>
      <c r="F131" s="11"/>
      <c r="G131" s="12">
        <f>G132+G134</f>
        <v>312028</v>
      </c>
      <c r="H131" s="12">
        <f>H132</f>
        <v>32698</v>
      </c>
      <c r="I131" s="68"/>
    </row>
    <row r="132" spans="1:9" ht="15.75">
      <c r="A132" s="13" t="s">
        <v>188</v>
      </c>
      <c r="B132" s="10" t="s">
        <v>98</v>
      </c>
      <c r="C132" s="10" t="s">
        <v>43</v>
      </c>
      <c r="D132" s="10" t="s">
        <v>37</v>
      </c>
      <c r="E132" s="10" t="s">
        <v>189</v>
      </c>
      <c r="F132" s="11"/>
      <c r="G132" s="12">
        <f>G133</f>
        <v>309868</v>
      </c>
      <c r="H132" s="12">
        <f>H133</f>
        <v>32698</v>
      </c>
      <c r="I132" s="68"/>
    </row>
    <row r="133" spans="1:18" ht="31.5">
      <c r="A133" s="13" t="s">
        <v>31</v>
      </c>
      <c r="B133" s="10" t="s">
        <v>98</v>
      </c>
      <c r="C133" s="10" t="s">
        <v>43</v>
      </c>
      <c r="D133" s="10" t="s">
        <v>37</v>
      </c>
      <c r="E133" s="10" t="s">
        <v>189</v>
      </c>
      <c r="F133" s="11" t="s">
        <v>110</v>
      </c>
      <c r="G133" s="12">
        <f>250450+1100+1740+29031-1100-450+800+J133+K133+N133+Q133</f>
        <v>309868</v>
      </c>
      <c r="H133" s="12">
        <f>28979+52-52+R133</f>
        <v>32698</v>
      </c>
      <c r="I133" s="68"/>
      <c r="J133" s="1">
        <f>1493-60+17076</f>
        <v>18509</v>
      </c>
      <c r="K133" s="1">
        <f>2700-45</f>
        <v>2655</v>
      </c>
      <c r="N133" s="1">
        <f>-2932+212+1433</f>
        <v>-1287</v>
      </c>
      <c r="P133" s="1">
        <v>1432.7</v>
      </c>
      <c r="Q133" s="1">
        <v>8420</v>
      </c>
      <c r="R133" s="1">
        <v>3719</v>
      </c>
    </row>
    <row r="134" spans="1:9" ht="15.75">
      <c r="A134" s="17" t="s">
        <v>126</v>
      </c>
      <c r="B134" s="10" t="s">
        <v>98</v>
      </c>
      <c r="C134" s="10" t="s">
        <v>43</v>
      </c>
      <c r="D134" s="10" t="s">
        <v>37</v>
      </c>
      <c r="E134" s="10" t="s">
        <v>127</v>
      </c>
      <c r="F134" s="11"/>
      <c r="G134" s="12">
        <f>G135</f>
        <v>2160</v>
      </c>
      <c r="H134" s="12">
        <v>0</v>
      </c>
      <c r="I134" s="68"/>
    </row>
    <row r="135" spans="1:16" ht="31.5">
      <c r="A135" s="13" t="s">
        <v>31</v>
      </c>
      <c r="B135" s="10" t="s">
        <v>98</v>
      </c>
      <c r="C135" s="10" t="s">
        <v>43</v>
      </c>
      <c r="D135" s="10" t="s">
        <v>37</v>
      </c>
      <c r="E135" s="10" t="s">
        <v>127</v>
      </c>
      <c r="F135" s="11" t="s">
        <v>110</v>
      </c>
      <c r="G135" s="12">
        <f>1100+450+J135+N135</f>
        <v>2160</v>
      </c>
      <c r="H135" s="12">
        <v>0</v>
      </c>
      <c r="I135" s="68"/>
      <c r="J135" s="1">
        <v>1670</v>
      </c>
      <c r="N135" s="1">
        <f>-2730+1670</f>
        <v>-1060</v>
      </c>
      <c r="P135" s="1">
        <v>1669.8</v>
      </c>
    </row>
    <row r="136" spans="1:9" ht="15.75">
      <c r="A136" s="13"/>
      <c r="B136" s="10"/>
      <c r="C136" s="10"/>
      <c r="D136" s="10"/>
      <c r="E136" s="10"/>
      <c r="F136" s="11"/>
      <c r="G136" s="12"/>
      <c r="H136" s="12"/>
      <c r="I136" s="68"/>
    </row>
    <row r="137" spans="1:9" ht="15.75">
      <c r="A137" s="17" t="s">
        <v>66</v>
      </c>
      <c r="B137" s="10" t="s">
        <v>98</v>
      </c>
      <c r="C137" s="10" t="s">
        <v>43</v>
      </c>
      <c r="D137" s="10" t="s">
        <v>38</v>
      </c>
      <c r="E137" s="10"/>
      <c r="F137" s="11"/>
      <c r="G137" s="12">
        <f>G138+G140+G142+G144</f>
        <v>478206</v>
      </c>
      <c r="H137" s="12">
        <f>H138+H140+H142</f>
        <v>11213</v>
      </c>
      <c r="I137" s="68">
        <f>I139+I141</f>
        <v>314653</v>
      </c>
    </row>
    <row r="138" spans="1:9" ht="47.25">
      <c r="A138" s="17" t="s">
        <v>99</v>
      </c>
      <c r="B138" s="10" t="s">
        <v>98</v>
      </c>
      <c r="C138" s="10" t="s">
        <v>43</v>
      </c>
      <c r="D138" s="10" t="s">
        <v>38</v>
      </c>
      <c r="E138" s="10" t="s">
        <v>4</v>
      </c>
      <c r="F138" s="11"/>
      <c r="G138" s="12">
        <f>G139</f>
        <v>412625</v>
      </c>
      <c r="H138" s="12">
        <f>H139</f>
        <v>9890</v>
      </c>
      <c r="I138" s="68"/>
    </row>
    <row r="139" spans="1:17" ht="31.5">
      <c r="A139" s="13" t="s">
        <v>31</v>
      </c>
      <c r="B139" s="10" t="s">
        <v>98</v>
      </c>
      <c r="C139" s="10" t="s">
        <v>43</v>
      </c>
      <c r="D139" s="10" t="s">
        <v>38</v>
      </c>
      <c r="E139" s="10" t="s">
        <v>4</v>
      </c>
      <c r="F139" s="11" t="s">
        <v>110</v>
      </c>
      <c r="G139" s="12">
        <f>64365+600+7950+330+118+11190-600-640+I139+1373+J139+K139+N139+Q139</f>
        <v>412625</v>
      </c>
      <c r="H139" s="12">
        <f>9890+1300-1300</f>
        <v>9890</v>
      </c>
      <c r="I139" s="68">
        <v>301529</v>
      </c>
      <c r="J139" s="1">
        <f>1269+60+26907+1100</f>
        <v>29336</v>
      </c>
      <c r="K139" s="1">
        <f>-54-40+45</f>
        <v>-49</v>
      </c>
      <c r="N139" s="1">
        <f>-380+20-4761+866-100+1329+45-120</f>
        <v>-3101</v>
      </c>
      <c r="P139" s="1">
        <v>1329.2</v>
      </c>
      <c r="Q139" s="1">
        <v>224</v>
      </c>
    </row>
    <row r="140" spans="1:9" ht="15.75">
      <c r="A140" s="17" t="s">
        <v>100</v>
      </c>
      <c r="B140" s="10" t="s">
        <v>98</v>
      </c>
      <c r="C140" s="10" t="s">
        <v>43</v>
      </c>
      <c r="D140" s="10" t="s">
        <v>38</v>
      </c>
      <c r="E140" s="10" t="s">
        <v>5</v>
      </c>
      <c r="F140" s="11"/>
      <c r="G140" s="12">
        <f>G141+Q140</f>
        <v>20182</v>
      </c>
      <c r="H140" s="12">
        <f>H141</f>
        <v>0</v>
      </c>
      <c r="I140" s="68"/>
    </row>
    <row r="141" spans="1:17" ht="31.5">
      <c r="A141" s="13" t="s">
        <v>31</v>
      </c>
      <c r="B141" s="10" t="s">
        <v>98</v>
      </c>
      <c r="C141" s="10" t="s">
        <v>43</v>
      </c>
      <c r="D141" s="10" t="s">
        <v>38</v>
      </c>
      <c r="E141" s="10" t="s">
        <v>5</v>
      </c>
      <c r="F141" s="11" t="s">
        <v>110</v>
      </c>
      <c r="G141" s="12">
        <f>5225+200+I141+J141+N141+Q141</f>
        <v>20182</v>
      </c>
      <c r="H141" s="12">
        <v>0</v>
      </c>
      <c r="I141" s="68">
        <v>13124</v>
      </c>
      <c r="J141" s="1">
        <f>1184+68</f>
        <v>1252</v>
      </c>
      <c r="N141" s="1">
        <f>-100+470</f>
        <v>370</v>
      </c>
      <c r="Q141" s="1">
        <v>11</v>
      </c>
    </row>
    <row r="142" spans="1:9" ht="31.5">
      <c r="A142" s="17" t="s">
        <v>90</v>
      </c>
      <c r="B142" s="10" t="s">
        <v>98</v>
      </c>
      <c r="C142" s="10" t="s">
        <v>43</v>
      </c>
      <c r="D142" s="10" t="s">
        <v>38</v>
      </c>
      <c r="E142" s="10" t="s">
        <v>131</v>
      </c>
      <c r="F142" s="11"/>
      <c r="G142" s="12">
        <f>G143</f>
        <v>44186</v>
      </c>
      <c r="H142" s="12">
        <f>H143</f>
        <v>1323</v>
      </c>
      <c r="I142" s="68"/>
    </row>
    <row r="143" spans="1:18" ht="31.5">
      <c r="A143" s="13" t="s">
        <v>31</v>
      </c>
      <c r="B143" s="10" t="s">
        <v>98</v>
      </c>
      <c r="C143" s="10" t="s">
        <v>43</v>
      </c>
      <c r="D143" s="10" t="s">
        <v>38</v>
      </c>
      <c r="E143" s="10" t="s">
        <v>131</v>
      </c>
      <c r="F143" s="11" t="s">
        <v>110</v>
      </c>
      <c r="G143" s="12">
        <f>37988+400+2199+J143+K143+N143+Q143</f>
        <v>44186</v>
      </c>
      <c r="H143" s="12">
        <f>1323+876-876+R143</f>
        <v>1323</v>
      </c>
      <c r="I143" s="68"/>
      <c r="J143" s="1">
        <f>116+2600</f>
        <v>2716</v>
      </c>
      <c r="K143" s="1">
        <f>200+40</f>
        <v>240</v>
      </c>
      <c r="N143" s="1">
        <f>-339+116+116</f>
        <v>-107</v>
      </c>
      <c r="P143" s="1">
        <v>116</v>
      </c>
      <c r="Q143" s="1">
        <v>750</v>
      </c>
      <c r="R143" s="1">
        <v>0</v>
      </c>
    </row>
    <row r="144" spans="1:9" ht="15.75">
      <c r="A144" s="17" t="s">
        <v>126</v>
      </c>
      <c r="B144" s="10" t="s">
        <v>98</v>
      </c>
      <c r="C144" s="10" t="s">
        <v>43</v>
      </c>
      <c r="D144" s="10" t="s">
        <v>38</v>
      </c>
      <c r="E144" s="10" t="s">
        <v>127</v>
      </c>
      <c r="F144" s="11"/>
      <c r="G144" s="12">
        <f>G145</f>
        <v>1213</v>
      </c>
      <c r="H144" s="12">
        <v>0</v>
      </c>
      <c r="I144" s="68"/>
    </row>
    <row r="145" spans="1:16" ht="31.5">
      <c r="A145" s="13" t="s">
        <v>31</v>
      </c>
      <c r="B145" s="10" t="s">
        <v>98</v>
      </c>
      <c r="C145" s="10" t="s">
        <v>43</v>
      </c>
      <c r="D145" s="10" t="s">
        <v>38</v>
      </c>
      <c r="E145" s="10" t="s">
        <v>127</v>
      </c>
      <c r="F145" s="11" t="s">
        <v>110</v>
      </c>
      <c r="G145" s="12">
        <f>600+640+J145+K145+N145</f>
        <v>1213</v>
      </c>
      <c r="H145" s="12">
        <v>0</v>
      </c>
      <c r="I145" s="68"/>
      <c r="J145" s="1">
        <v>559</v>
      </c>
      <c r="K145" s="1">
        <f>480+54+300</f>
        <v>834</v>
      </c>
      <c r="N145" s="1">
        <f>-20-2033+558-45+120</f>
        <v>-1420</v>
      </c>
      <c r="P145" s="1">
        <v>558.3</v>
      </c>
    </row>
    <row r="146" spans="1:9" ht="15.75">
      <c r="A146" s="13"/>
      <c r="B146" s="10"/>
      <c r="C146" s="10"/>
      <c r="D146" s="10"/>
      <c r="E146" s="10"/>
      <c r="F146" s="11"/>
      <c r="G146" s="12"/>
      <c r="H146" s="12"/>
      <c r="I146" s="68"/>
    </row>
    <row r="147" spans="1:9" ht="31.5">
      <c r="A147" s="13" t="s">
        <v>168</v>
      </c>
      <c r="B147" s="10" t="s">
        <v>98</v>
      </c>
      <c r="C147" s="10" t="s">
        <v>43</v>
      </c>
      <c r="D147" s="10" t="s">
        <v>43</v>
      </c>
      <c r="E147" s="10"/>
      <c r="F147" s="11"/>
      <c r="G147" s="12">
        <f>G148+G150</f>
        <v>3480</v>
      </c>
      <c r="H147" s="12">
        <f>H148+H150</f>
        <v>2000</v>
      </c>
      <c r="I147" s="68"/>
    </row>
    <row r="148" spans="1:9" ht="15.75">
      <c r="A148" s="17" t="s">
        <v>126</v>
      </c>
      <c r="B148" s="10" t="s">
        <v>98</v>
      </c>
      <c r="C148" s="10" t="s">
        <v>43</v>
      </c>
      <c r="D148" s="10" t="s">
        <v>43</v>
      </c>
      <c r="E148" s="10" t="s">
        <v>127</v>
      </c>
      <c r="F148" s="11"/>
      <c r="G148" s="12">
        <f>G149</f>
        <v>1000</v>
      </c>
      <c r="H148" s="12">
        <f>H149</f>
        <v>0</v>
      </c>
      <c r="I148" s="68"/>
    </row>
    <row r="149" spans="1:11" ht="47.25">
      <c r="A149" s="21" t="s">
        <v>88</v>
      </c>
      <c r="B149" s="10" t="s">
        <v>98</v>
      </c>
      <c r="C149" s="10" t="s">
        <v>43</v>
      </c>
      <c r="D149" s="10" t="s">
        <v>43</v>
      </c>
      <c r="E149" s="10" t="s">
        <v>127</v>
      </c>
      <c r="F149" s="11" t="s">
        <v>87</v>
      </c>
      <c r="G149" s="12">
        <f>700+K149</f>
        <v>1000</v>
      </c>
      <c r="H149" s="12">
        <v>0</v>
      </c>
      <c r="I149" s="68"/>
      <c r="K149" s="1">
        <v>300</v>
      </c>
    </row>
    <row r="150" spans="1:9" ht="47.25">
      <c r="A150" s="21" t="s">
        <v>193</v>
      </c>
      <c r="B150" s="10" t="s">
        <v>98</v>
      </c>
      <c r="C150" s="10" t="s">
        <v>43</v>
      </c>
      <c r="D150" s="10" t="s">
        <v>43</v>
      </c>
      <c r="E150" s="10" t="s">
        <v>191</v>
      </c>
      <c r="F150" s="11"/>
      <c r="G150" s="12">
        <f>G151</f>
        <v>2480</v>
      </c>
      <c r="H150" s="12">
        <f>H151</f>
        <v>2000</v>
      </c>
      <c r="I150" s="68"/>
    </row>
    <row r="151" spans="1:14" ht="15.75">
      <c r="A151" s="21" t="s">
        <v>194</v>
      </c>
      <c r="B151" s="10" t="s">
        <v>98</v>
      </c>
      <c r="C151" s="10" t="s">
        <v>43</v>
      </c>
      <c r="D151" s="10" t="s">
        <v>43</v>
      </c>
      <c r="E151" s="10" t="s">
        <v>191</v>
      </c>
      <c r="F151" s="11" t="s">
        <v>192</v>
      </c>
      <c r="G151" s="12">
        <f>2000+K151+N151</f>
        <v>2480</v>
      </c>
      <c r="H151" s="12">
        <v>2000</v>
      </c>
      <c r="I151" s="68"/>
      <c r="K151" s="1">
        <v>100</v>
      </c>
      <c r="N151" s="88">
        <v>380</v>
      </c>
    </row>
    <row r="152" spans="1:9" ht="15.75">
      <c r="A152" s="17"/>
      <c r="B152" s="10"/>
      <c r="C152" s="10"/>
      <c r="D152" s="10"/>
      <c r="E152" s="10"/>
      <c r="F152" s="11"/>
      <c r="G152" s="12"/>
      <c r="H152" s="12"/>
      <c r="I152" s="68"/>
    </row>
    <row r="153" spans="1:9" ht="31.5">
      <c r="A153" s="13" t="s">
        <v>67</v>
      </c>
      <c r="B153" s="10" t="s">
        <v>98</v>
      </c>
      <c r="C153" s="10" t="s">
        <v>43</v>
      </c>
      <c r="D153" s="10" t="s">
        <v>53</v>
      </c>
      <c r="E153" s="10"/>
      <c r="F153" s="11"/>
      <c r="G153" s="12">
        <f>G154+G157</f>
        <v>31351</v>
      </c>
      <c r="H153" s="12">
        <f>H154+H157</f>
        <v>193</v>
      </c>
      <c r="I153" s="68"/>
    </row>
    <row r="154" spans="1:9" ht="31.5">
      <c r="A154" s="13" t="s">
        <v>81</v>
      </c>
      <c r="B154" s="10" t="s">
        <v>98</v>
      </c>
      <c r="C154" s="10" t="s">
        <v>43</v>
      </c>
      <c r="D154" s="10" t="s">
        <v>53</v>
      </c>
      <c r="E154" s="10" t="s">
        <v>82</v>
      </c>
      <c r="F154" s="11"/>
      <c r="G154" s="12">
        <f>G155+G156</f>
        <v>21504</v>
      </c>
      <c r="H154" s="12">
        <f>H155</f>
        <v>190</v>
      </c>
      <c r="I154" s="68"/>
    </row>
    <row r="155" spans="1:17" ht="15.75">
      <c r="A155" s="21" t="s">
        <v>22</v>
      </c>
      <c r="B155" s="15" t="s">
        <v>98</v>
      </c>
      <c r="C155" s="15" t="s">
        <v>43</v>
      </c>
      <c r="D155" s="15" t="s">
        <v>53</v>
      </c>
      <c r="E155" s="15" t="s">
        <v>82</v>
      </c>
      <c r="F155" s="16" t="s">
        <v>23</v>
      </c>
      <c r="G155" s="12">
        <f>20514+300+350+K155+N155+S155+Q155</f>
        <v>21504</v>
      </c>
      <c r="H155" s="12">
        <f>+O155</f>
        <v>190</v>
      </c>
      <c r="I155" s="68"/>
      <c r="K155" s="1">
        <f>-260-200</f>
        <v>-460</v>
      </c>
      <c r="N155" s="88">
        <f>O155-300-350</f>
        <v>-460</v>
      </c>
      <c r="O155" s="88">
        <v>190</v>
      </c>
      <c r="Q155" s="1">
        <v>1260</v>
      </c>
    </row>
    <row r="156" spans="1:9" ht="15.75">
      <c r="A156" s="21"/>
      <c r="B156" s="15"/>
      <c r="C156" s="15"/>
      <c r="D156" s="15"/>
      <c r="E156" s="15"/>
      <c r="F156" s="16"/>
      <c r="G156" s="12"/>
      <c r="H156" s="12"/>
      <c r="I156" s="68"/>
    </row>
    <row r="157" spans="1:9" ht="63">
      <c r="A157" s="21" t="s">
        <v>214</v>
      </c>
      <c r="B157" s="15" t="s">
        <v>98</v>
      </c>
      <c r="C157" s="15" t="s">
        <v>43</v>
      </c>
      <c r="D157" s="15" t="s">
        <v>53</v>
      </c>
      <c r="E157" s="15" t="s">
        <v>213</v>
      </c>
      <c r="F157" s="16"/>
      <c r="G157" s="12">
        <f>G158</f>
        <v>9847</v>
      </c>
      <c r="H157" s="12">
        <f>H158</f>
        <v>3</v>
      </c>
      <c r="I157" s="68"/>
    </row>
    <row r="158" spans="1:18" ht="31.5">
      <c r="A158" s="13" t="s">
        <v>31</v>
      </c>
      <c r="B158" s="15" t="s">
        <v>98</v>
      </c>
      <c r="C158" s="15" t="s">
        <v>43</v>
      </c>
      <c r="D158" s="15" t="s">
        <v>53</v>
      </c>
      <c r="E158" s="15" t="s">
        <v>213</v>
      </c>
      <c r="F158" s="16" t="s">
        <v>110</v>
      </c>
      <c r="G158" s="12">
        <f>6560+2454+30+86+143+122+J158+N158+Q158</f>
        <v>9847</v>
      </c>
      <c r="H158" s="12">
        <f>1+85-85+R158</f>
        <v>3</v>
      </c>
      <c r="I158" s="68"/>
      <c r="J158" s="1">
        <f>30+150+136</f>
        <v>316</v>
      </c>
      <c r="N158" s="88">
        <f>-30-30+30</f>
        <v>-30</v>
      </c>
      <c r="O158" s="88"/>
      <c r="P158" s="88">
        <v>30</v>
      </c>
      <c r="Q158" s="1">
        <v>166</v>
      </c>
      <c r="R158" s="1">
        <v>2</v>
      </c>
    </row>
    <row r="159" spans="1:9" ht="15.75">
      <c r="A159" s="17"/>
      <c r="B159" s="10"/>
      <c r="C159" s="10"/>
      <c r="D159" s="10"/>
      <c r="E159" s="10"/>
      <c r="F159" s="11"/>
      <c r="G159" s="12"/>
      <c r="H159" s="12"/>
      <c r="I159" s="68"/>
    </row>
    <row r="160" spans="1:17" ht="15.75">
      <c r="A160" s="23" t="s">
        <v>165</v>
      </c>
      <c r="B160" s="10" t="s">
        <v>102</v>
      </c>
      <c r="C160" s="10"/>
      <c r="D160" s="10"/>
      <c r="E160" s="10"/>
      <c r="F160" s="11"/>
      <c r="G160" s="12">
        <f>G161</f>
        <v>39459</v>
      </c>
      <c r="H160" s="12">
        <f>H161</f>
        <v>0</v>
      </c>
      <c r="I160" s="68"/>
      <c r="J160" s="1">
        <f>SUM(J161:J180)</f>
        <v>-9415</v>
      </c>
      <c r="K160" s="1">
        <f>SUM(K162:K181)</f>
        <v>-5405</v>
      </c>
      <c r="N160" s="1">
        <f>SUM(N161:N181)</f>
        <v>-100</v>
      </c>
      <c r="Q160" s="2">
        <f>SUM(Q161:Q181)</f>
        <v>6803</v>
      </c>
    </row>
    <row r="161" spans="1:9" ht="15.75">
      <c r="A161" s="13" t="s">
        <v>24</v>
      </c>
      <c r="B161" s="10" t="s">
        <v>102</v>
      </c>
      <c r="C161" s="10" t="s">
        <v>37</v>
      </c>
      <c r="D161" s="10"/>
      <c r="E161" s="10"/>
      <c r="F161" s="11"/>
      <c r="G161" s="12">
        <f>G162+G178+G170+G174+G166</f>
        <v>39459</v>
      </c>
      <c r="H161" s="12">
        <f>H162+H178+H170+H174</f>
        <v>0</v>
      </c>
      <c r="I161" s="68"/>
    </row>
    <row r="162" spans="1:9" ht="63">
      <c r="A162" s="13" t="s">
        <v>19</v>
      </c>
      <c r="B162" s="10" t="s">
        <v>102</v>
      </c>
      <c r="C162" s="10" t="s">
        <v>37</v>
      </c>
      <c r="D162" s="10" t="s">
        <v>59</v>
      </c>
      <c r="E162" s="10"/>
      <c r="F162" s="11"/>
      <c r="G162" s="12">
        <f>G163</f>
        <v>8736</v>
      </c>
      <c r="H162" s="12">
        <f>H163</f>
        <v>0</v>
      </c>
      <c r="I162" s="68"/>
    </row>
    <row r="163" spans="1:9" ht="31.5">
      <c r="A163" s="13" t="s">
        <v>81</v>
      </c>
      <c r="B163" s="10" t="s">
        <v>102</v>
      </c>
      <c r="C163" s="10" t="s">
        <v>37</v>
      </c>
      <c r="D163" s="10" t="s">
        <v>59</v>
      </c>
      <c r="E163" s="10" t="s">
        <v>82</v>
      </c>
      <c r="F163" s="11"/>
      <c r="G163" s="12">
        <f>G164</f>
        <v>8736</v>
      </c>
      <c r="H163" s="12">
        <f>H164</f>
        <v>0</v>
      </c>
      <c r="I163" s="68"/>
    </row>
    <row r="164" spans="1:17" s="2" customFormat="1" ht="15.75">
      <c r="A164" s="21" t="s">
        <v>22</v>
      </c>
      <c r="B164" s="15" t="s">
        <v>102</v>
      </c>
      <c r="C164" s="15" t="s">
        <v>37</v>
      </c>
      <c r="D164" s="15" t="s">
        <v>59</v>
      </c>
      <c r="E164" s="15" t="s">
        <v>82</v>
      </c>
      <c r="F164" s="16" t="s">
        <v>23</v>
      </c>
      <c r="G164" s="22">
        <f>6993+1833+250+K164+N164+S164+Q164</f>
        <v>8736</v>
      </c>
      <c r="H164" s="22">
        <v>0</v>
      </c>
      <c r="I164" s="67"/>
      <c r="K164" s="2">
        <f>-505-200</f>
        <v>-705</v>
      </c>
      <c r="N164" s="2">
        <v>-100</v>
      </c>
      <c r="Q164" s="2">
        <v>465</v>
      </c>
    </row>
    <row r="165" spans="1:9" s="2" customFormat="1" ht="15.75">
      <c r="A165" s="21"/>
      <c r="B165" s="15"/>
      <c r="C165" s="15"/>
      <c r="D165" s="15"/>
      <c r="E165" s="15"/>
      <c r="F165" s="16"/>
      <c r="G165" s="22"/>
      <c r="H165" s="22"/>
      <c r="I165" s="67"/>
    </row>
    <row r="166" spans="1:9" ht="31.5">
      <c r="A166" s="19" t="s">
        <v>42</v>
      </c>
      <c r="B166" s="10" t="s">
        <v>102</v>
      </c>
      <c r="C166" s="10" t="s">
        <v>37</v>
      </c>
      <c r="D166" s="10" t="s">
        <v>43</v>
      </c>
      <c r="E166" s="10"/>
      <c r="F166" s="11"/>
      <c r="G166" s="12">
        <f>G167</f>
        <v>1212</v>
      </c>
      <c r="H166" s="12">
        <f>H167</f>
        <v>0</v>
      </c>
      <c r="I166" s="68"/>
    </row>
    <row r="167" spans="1:9" ht="15.75" customHeight="1">
      <c r="A167" s="19" t="s">
        <v>74</v>
      </c>
      <c r="B167" s="10" t="s">
        <v>102</v>
      </c>
      <c r="C167" s="10" t="s">
        <v>37</v>
      </c>
      <c r="D167" s="10" t="s">
        <v>43</v>
      </c>
      <c r="E167" s="10" t="s">
        <v>75</v>
      </c>
      <c r="F167" s="11"/>
      <c r="G167" s="12">
        <f>G168</f>
        <v>1212</v>
      </c>
      <c r="H167" s="12">
        <f>H168</f>
        <v>0</v>
      </c>
      <c r="I167" s="68"/>
    </row>
    <row r="168" spans="1:17" ht="47.25">
      <c r="A168" s="19" t="s">
        <v>307</v>
      </c>
      <c r="B168" s="10" t="s">
        <v>102</v>
      </c>
      <c r="C168" s="10" t="s">
        <v>37</v>
      </c>
      <c r="D168" s="10" t="s">
        <v>43</v>
      </c>
      <c r="E168" s="10" t="s">
        <v>75</v>
      </c>
      <c r="F168" s="11" t="s">
        <v>308</v>
      </c>
      <c r="G168" s="12">
        <f>+L168-288</f>
        <v>1212</v>
      </c>
      <c r="H168" s="12">
        <v>0</v>
      </c>
      <c r="I168" s="68"/>
      <c r="L168" s="1">
        <v>1500</v>
      </c>
      <c r="Q168" s="1">
        <v>-288</v>
      </c>
    </row>
    <row r="169" spans="1:9" s="2" customFormat="1" ht="15.75">
      <c r="A169" s="21"/>
      <c r="B169" s="15"/>
      <c r="C169" s="15"/>
      <c r="D169" s="15"/>
      <c r="E169" s="15"/>
      <c r="F169" s="16"/>
      <c r="G169" s="22"/>
      <c r="H169" s="22"/>
      <c r="I169" s="67"/>
    </row>
    <row r="170" spans="1:9" ht="31.5">
      <c r="A170" s="14" t="s">
        <v>44</v>
      </c>
      <c r="B170" s="15" t="s">
        <v>102</v>
      </c>
      <c r="C170" s="15" t="s">
        <v>37</v>
      </c>
      <c r="D170" s="15" t="s">
        <v>45</v>
      </c>
      <c r="E170" s="15"/>
      <c r="F170" s="16"/>
      <c r="G170" s="12">
        <f>G171</f>
        <v>24626</v>
      </c>
      <c r="H170" s="12">
        <f>H171</f>
        <v>0</v>
      </c>
      <c r="I170" s="68"/>
    </row>
    <row r="171" spans="1:9" ht="31.5">
      <c r="A171" s="14" t="s">
        <v>77</v>
      </c>
      <c r="B171" s="15" t="s">
        <v>102</v>
      </c>
      <c r="C171" s="15" t="s">
        <v>37</v>
      </c>
      <c r="D171" s="15" t="s">
        <v>45</v>
      </c>
      <c r="E171" s="15" t="s">
        <v>76</v>
      </c>
      <c r="F171" s="16"/>
      <c r="G171" s="12">
        <f>G172</f>
        <v>24626</v>
      </c>
      <c r="H171" s="12">
        <f>H172</f>
        <v>0</v>
      </c>
      <c r="I171" s="68"/>
    </row>
    <row r="172" spans="1:17" ht="31.5">
      <c r="A172" s="14" t="s">
        <v>198</v>
      </c>
      <c r="B172" s="15" t="s">
        <v>102</v>
      </c>
      <c r="C172" s="15" t="s">
        <v>37</v>
      </c>
      <c r="D172" s="15" t="s">
        <v>45</v>
      </c>
      <c r="E172" s="15" t="s">
        <v>76</v>
      </c>
      <c r="F172" s="16" t="s">
        <v>197</v>
      </c>
      <c r="G172" s="12">
        <f>22000+K172+Q172</f>
        <v>24626</v>
      </c>
      <c r="H172" s="12">
        <v>0</v>
      </c>
      <c r="I172" s="68"/>
      <c r="K172" s="1">
        <v>-4000</v>
      </c>
      <c r="Q172" s="1">
        <v>6626</v>
      </c>
    </row>
    <row r="173" spans="1:9" ht="15.75">
      <c r="A173" s="17"/>
      <c r="B173" s="10"/>
      <c r="C173" s="10"/>
      <c r="D173" s="10"/>
      <c r="E173" s="10"/>
      <c r="F173" s="11"/>
      <c r="G173" s="12"/>
      <c r="H173" s="12"/>
      <c r="I173" s="68"/>
    </row>
    <row r="174" spans="1:9" ht="15.75">
      <c r="A174" s="17" t="s">
        <v>46</v>
      </c>
      <c r="B174" s="10" t="s">
        <v>102</v>
      </c>
      <c r="C174" s="10" t="s">
        <v>37</v>
      </c>
      <c r="D174" s="10" t="s">
        <v>47</v>
      </c>
      <c r="E174" s="10"/>
      <c r="F174" s="11"/>
      <c r="G174" s="12">
        <f>G175</f>
        <v>3385</v>
      </c>
      <c r="H174" s="12">
        <f>H175</f>
        <v>0</v>
      </c>
      <c r="I174" s="68"/>
    </row>
    <row r="175" spans="1:9" ht="15.75">
      <c r="A175" s="17" t="s">
        <v>46</v>
      </c>
      <c r="B175" s="10" t="s">
        <v>102</v>
      </c>
      <c r="C175" s="10" t="s">
        <v>37</v>
      </c>
      <c r="D175" s="10" t="s">
        <v>47</v>
      </c>
      <c r="E175" s="10" t="s">
        <v>121</v>
      </c>
      <c r="F175" s="11"/>
      <c r="G175" s="12">
        <f>G176</f>
        <v>3385</v>
      </c>
      <c r="H175" s="12">
        <f>H176</f>
        <v>0</v>
      </c>
      <c r="I175" s="68"/>
    </row>
    <row r="176" spans="1:16" ht="31.5">
      <c r="A176" s="19" t="s">
        <v>195</v>
      </c>
      <c r="B176" s="10" t="s">
        <v>102</v>
      </c>
      <c r="C176" s="10" t="s">
        <v>37</v>
      </c>
      <c r="D176" s="10" t="s">
        <v>47</v>
      </c>
      <c r="E176" s="10" t="s">
        <v>121</v>
      </c>
      <c r="F176" s="11" t="s">
        <v>196</v>
      </c>
      <c r="G176" s="12">
        <f>4000+10000-1000+J176+K176+N176</f>
        <v>3385</v>
      </c>
      <c r="H176" s="12">
        <v>0</v>
      </c>
      <c r="I176" s="68"/>
      <c r="J176" s="1">
        <f>-10000+585</f>
        <v>-9415</v>
      </c>
      <c r="K176" s="1">
        <v>-200</v>
      </c>
      <c r="N176" s="1">
        <f>-585+585</f>
        <v>0</v>
      </c>
      <c r="P176" s="1">
        <v>585.4</v>
      </c>
    </row>
    <row r="177" spans="1:9" ht="15.75">
      <c r="A177" s="19"/>
      <c r="B177" s="10"/>
      <c r="C177" s="10"/>
      <c r="D177" s="10"/>
      <c r="E177" s="10"/>
      <c r="F177" s="11"/>
      <c r="G177" s="12"/>
      <c r="H177" s="12"/>
      <c r="I177" s="68"/>
    </row>
    <row r="178" spans="1:9" s="2" customFormat="1" ht="31.5">
      <c r="A178" s="21" t="s">
        <v>48</v>
      </c>
      <c r="B178" s="15" t="s">
        <v>102</v>
      </c>
      <c r="C178" s="15" t="s">
        <v>37</v>
      </c>
      <c r="D178" s="15" t="s">
        <v>49</v>
      </c>
      <c r="E178" s="15"/>
      <c r="F178" s="16"/>
      <c r="G178" s="22">
        <f>G179</f>
        <v>1500</v>
      </c>
      <c r="H178" s="22">
        <f>H179</f>
        <v>0</v>
      </c>
      <c r="I178" s="67"/>
    </row>
    <row r="179" spans="1:9" ht="47.25">
      <c r="A179" s="17" t="s">
        <v>28</v>
      </c>
      <c r="B179" s="10" t="s">
        <v>102</v>
      </c>
      <c r="C179" s="10" t="s">
        <v>37</v>
      </c>
      <c r="D179" s="10" t="s">
        <v>49</v>
      </c>
      <c r="E179" s="10" t="s">
        <v>29</v>
      </c>
      <c r="F179" s="11"/>
      <c r="G179" s="12">
        <f>G180</f>
        <v>1500</v>
      </c>
      <c r="H179" s="12">
        <f>H180</f>
        <v>0</v>
      </c>
      <c r="I179" s="68"/>
    </row>
    <row r="180" spans="1:9" ht="31.5">
      <c r="A180" s="17" t="s">
        <v>30</v>
      </c>
      <c r="B180" s="10" t="s">
        <v>102</v>
      </c>
      <c r="C180" s="10" t="s">
        <v>37</v>
      </c>
      <c r="D180" s="10" t="s">
        <v>49</v>
      </c>
      <c r="E180" s="10" t="s">
        <v>29</v>
      </c>
      <c r="F180" s="11" t="s">
        <v>107</v>
      </c>
      <c r="G180" s="12">
        <f>SUM(G181:G181)</f>
        <v>1500</v>
      </c>
      <c r="H180" s="12">
        <f>SUM(H181:H181)</f>
        <v>0</v>
      </c>
      <c r="I180" s="68"/>
    </row>
    <row r="181" spans="1:11" ht="31.5">
      <c r="A181" s="20" t="s">
        <v>147</v>
      </c>
      <c r="B181" s="10"/>
      <c r="C181" s="10"/>
      <c r="D181" s="10"/>
      <c r="E181" s="10"/>
      <c r="F181" s="11"/>
      <c r="G181" s="12">
        <f>2000+K181</f>
        <v>1500</v>
      </c>
      <c r="H181" s="12">
        <v>0</v>
      </c>
      <c r="I181" s="68"/>
      <c r="K181" s="1">
        <v>-500</v>
      </c>
    </row>
    <row r="182" spans="1:9" ht="15.75">
      <c r="A182" s="24"/>
      <c r="B182" s="10"/>
      <c r="C182" s="10"/>
      <c r="D182" s="10"/>
      <c r="E182" s="10"/>
      <c r="F182" s="11"/>
      <c r="G182" s="12"/>
      <c r="H182" s="12"/>
      <c r="I182" s="68"/>
    </row>
    <row r="183" spans="1:18" ht="15.75">
      <c r="A183" s="9" t="s">
        <v>199</v>
      </c>
      <c r="B183" s="10" t="s">
        <v>200</v>
      </c>
      <c r="C183" s="10"/>
      <c r="D183" s="10"/>
      <c r="E183" s="10"/>
      <c r="F183" s="11"/>
      <c r="G183" s="12">
        <f>G184+G189+G194+G210</f>
        <v>228813</v>
      </c>
      <c r="H183" s="12">
        <f>H198</f>
        <v>0</v>
      </c>
      <c r="I183" s="68"/>
      <c r="J183" s="1">
        <f>SUM(J184:J224)</f>
        <v>3262</v>
      </c>
      <c r="K183" s="1">
        <f>SUM(K184:K224)</f>
        <v>1086</v>
      </c>
      <c r="N183" s="1">
        <f>SUM(N184:N224)</f>
        <v>20974</v>
      </c>
      <c r="Q183" s="2">
        <f>SUM(Q184:Q225)</f>
        <v>1035</v>
      </c>
      <c r="R183" s="1">
        <f>SUM(R184:R225)</f>
        <v>0</v>
      </c>
    </row>
    <row r="184" spans="1:9" ht="15.75">
      <c r="A184" s="13" t="s">
        <v>24</v>
      </c>
      <c r="B184" s="10" t="s">
        <v>200</v>
      </c>
      <c r="C184" s="10" t="s">
        <v>37</v>
      </c>
      <c r="D184" s="10"/>
      <c r="E184" s="10"/>
      <c r="F184" s="11"/>
      <c r="G184" s="12">
        <f aca="true" t="shared" si="7" ref="G184:H186">G185</f>
        <v>7749</v>
      </c>
      <c r="H184" s="12">
        <f t="shared" si="7"/>
        <v>0</v>
      </c>
      <c r="I184" s="68"/>
    </row>
    <row r="185" spans="1:9" ht="31.5">
      <c r="A185" s="13" t="s">
        <v>48</v>
      </c>
      <c r="B185" s="15" t="s">
        <v>200</v>
      </c>
      <c r="C185" s="15" t="s">
        <v>37</v>
      </c>
      <c r="D185" s="15" t="s">
        <v>49</v>
      </c>
      <c r="E185" s="15"/>
      <c r="F185" s="16"/>
      <c r="G185" s="12">
        <f t="shared" si="7"/>
        <v>7749</v>
      </c>
      <c r="H185" s="12">
        <f t="shared" si="7"/>
        <v>0</v>
      </c>
      <c r="I185" s="68"/>
    </row>
    <row r="186" spans="1:9" ht="31.5">
      <c r="A186" s="13" t="s">
        <v>81</v>
      </c>
      <c r="B186" s="10" t="s">
        <v>200</v>
      </c>
      <c r="C186" s="10" t="s">
        <v>37</v>
      </c>
      <c r="D186" s="10" t="s">
        <v>49</v>
      </c>
      <c r="E186" s="10" t="s">
        <v>82</v>
      </c>
      <c r="F186" s="11"/>
      <c r="G186" s="12">
        <f t="shared" si="7"/>
        <v>7749</v>
      </c>
      <c r="H186" s="12">
        <f t="shared" si="7"/>
        <v>0</v>
      </c>
      <c r="I186" s="68"/>
    </row>
    <row r="187" spans="1:17" ht="15.75">
      <c r="A187" s="14" t="s">
        <v>22</v>
      </c>
      <c r="B187" s="10" t="s">
        <v>200</v>
      </c>
      <c r="C187" s="10" t="s">
        <v>37</v>
      </c>
      <c r="D187" s="10" t="s">
        <v>49</v>
      </c>
      <c r="E187" s="10" t="s">
        <v>82</v>
      </c>
      <c r="F187" s="11" t="s">
        <v>23</v>
      </c>
      <c r="G187" s="12">
        <f>7591+820+136+K187+N187+S187+Q187</f>
        <v>7749</v>
      </c>
      <c r="H187" s="12">
        <v>0</v>
      </c>
      <c r="I187" s="69"/>
      <c r="K187" s="1">
        <f>-883-300</f>
        <v>-1183</v>
      </c>
      <c r="N187" s="1">
        <v>-100</v>
      </c>
      <c r="Q187" s="1">
        <v>485</v>
      </c>
    </row>
    <row r="188" spans="1:9" ht="15.75">
      <c r="A188" s="14"/>
      <c r="B188" s="10"/>
      <c r="C188" s="10"/>
      <c r="D188" s="10"/>
      <c r="E188" s="10"/>
      <c r="F188" s="11"/>
      <c r="G188" s="12"/>
      <c r="H188" s="12"/>
      <c r="I188" s="68"/>
    </row>
    <row r="189" spans="1:9" ht="31.5">
      <c r="A189" s="14" t="s">
        <v>21</v>
      </c>
      <c r="B189" s="10" t="s">
        <v>200</v>
      </c>
      <c r="C189" s="10" t="s">
        <v>40</v>
      </c>
      <c r="D189" s="10"/>
      <c r="E189" s="10"/>
      <c r="F189" s="11"/>
      <c r="G189" s="12">
        <f aca="true" t="shared" si="8" ref="G189:H191">G190</f>
        <v>4176</v>
      </c>
      <c r="H189" s="12">
        <f t="shared" si="8"/>
        <v>0</v>
      </c>
      <c r="I189" s="68"/>
    </row>
    <row r="190" spans="1:9" ht="63">
      <c r="A190" s="14" t="s">
        <v>52</v>
      </c>
      <c r="B190" s="10" t="s">
        <v>200</v>
      </c>
      <c r="C190" s="10" t="s">
        <v>40</v>
      </c>
      <c r="D190" s="10" t="s">
        <v>53</v>
      </c>
      <c r="E190" s="10"/>
      <c r="F190" s="11"/>
      <c r="G190" s="12">
        <f t="shared" si="8"/>
        <v>4176</v>
      </c>
      <c r="H190" s="12">
        <f t="shared" si="8"/>
        <v>0</v>
      </c>
      <c r="I190" s="68"/>
    </row>
    <row r="191" spans="1:9" ht="63">
      <c r="A191" s="18" t="s">
        <v>269</v>
      </c>
      <c r="B191" s="10" t="s">
        <v>200</v>
      </c>
      <c r="C191" s="10" t="s">
        <v>40</v>
      </c>
      <c r="D191" s="10" t="s">
        <v>53</v>
      </c>
      <c r="E191" s="10" t="s">
        <v>268</v>
      </c>
      <c r="F191" s="11"/>
      <c r="G191" s="12">
        <f t="shared" si="8"/>
        <v>4176</v>
      </c>
      <c r="H191" s="12">
        <f t="shared" si="8"/>
        <v>0</v>
      </c>
      <c r="I191" s="68"/>
    </row>
    <row r="192" spans="1:9" ht="15.75">
      <c r="A192" s="21" t="s">
        <v>120</v>
      </c>
      <c r="B192" s="10" t="s">
        <v>200</v>
      </c>
      <c r="C192" s="10" t="s">
        <v>40</v>
      </c>
      <c r="D192" s="10" t="s">
        <v>53</v>
      </c>
      <c r="E192" s="10" t="s">
        <v>268</v>
      </c>
      <c r="F192" s="11" t="s">
        <v>101</v>
      </c>
      <c r="G192" s="12">
        <v>4176</v>
      </c>
      <c r="H192" s="12">
        <v>0</v>
      </c>
      <c r="I192" s="68"/>
    </row>
    <row r="193" spans="1:9" ht="15.75">
      <c r="A193" s="14"/>
      <c r="B193" s="10"/>
      <c r="C193" s="10"/>
      <c r="D193" s="10"/>
      <c r="E193" s="10"/>
      <c r="F193" s="11"/>
      <c r="G193" s="12"/>
      <c r="H193" s="12"/>
      <c r="I193" s="68"/>
    </row>
    <row r="194" spans="1:9" ht="15.75">
      <c r="A194" s="13" t="s">
        <v>25</v>
      </c>
      <c r="B194" s="10" t="s">
        <v>200</v>
      </c>
      <c r="C194" s="10" t="s">
        <v>57</v>
      </c>
      <c r="D194" s="10"/>
      <c r="E194" s="10"/>
      <c r="F194" s="11"/>
      <c r="G194" s="12">
        <f>G195+G199+G206</f>
        <v>2900</v>
      </c>
      <c r="H194" s="12">
        <f>H195+H199</f>
        <v>0</v>
      </c>
      <c r="I194" s="68"/>
    </row>
    <row r="195" spans="1:9" ht="15.75">
      <c r="A195" s="14" t="s">
        <v>58</v>
      </c>
      <c r="B195" s="10" t="s">
        <v>200</v>
      </c>
      <c r="C195" s="10" t="s">
        <v>57</v>
      </c>
      <c r="D195" s="10" t="s">
        <v>38</v>
      </c>
      <c r="E195" s="10"/>
      <c r="F195" s="11"/>
      <c r="G195" s="12">
        <f>G196</f>
        <v>140</v>
      </c>
      <c r="H195" s="12">
        <f>H196</f>
        <v>0</v>
      </c>
      <c r="I195" s="68"/>
    </row>
    <row r="196" spans="1:9" ht="31.5">
      <c r="A196" s="14" t="s">
        <v>185</v>
      </c>
      <c r="B196" s="10" t="s">
        <v>200</v>
      </c>
      <c r="C196" s="10" t="s">
        <v>57</v>
      </c>
      <c r="D196" s="10" t="s">
        <v>38</v>
      </c>
      <c r="E196" s="10" t="s">
        <v>122</v>
      </c>
      <c r="F196" s="11"/>
      <c r="G196" s="12">
        <f>G197</f>
        <v>140</v>
      </c>
      <c r="H196" s="12">
        <f>H197</f>
        <v>0</v>
      </c>
      <c r="I196" s="68"/>
    </row>
    <row r="197" spans="1:9" ht="15.75">
      <c r="A197" s="21" t="s">
        <v>120</v>
      </c>
      <c r="B197" s="10" t="s">
        <v>200</v>
      </c>
      <c r="C197" s="10" t="s">
        <v>57</v>
      </c>
      <c r="D197" s="10" t="s">
        <v>38</v>
      </c>
      <c r="E197" s="10" t="s">
        <v>122</v>
      </c>
      <c r="F197" s="11" t="s">
        <v>101</v>
      </c>
      <c r="G197" s="12">
        <v>140</v>
      </c>
      <c r="H197" s="12">
        <v>0</v>
      </c>
      <c r="I197" s="68"/>
    </row>
    <row r="198" spans="1:9" ht="15.75">
      <c r="A198" s="13"/>
      <c r="B198" s="10"/>
      <c r="C198" s="10"/>
      <c r="D198" s="10"/>
      <c r="E198" s="10"/>
      <c r="F198" s="11"/>
      <c r="G198" s="12"/>
      <c r="H198" s="12"/>
      <c r="I198" s="68"/>
    </row>
    <row r="199" spans="1:9" ht="15.75">
      <c r="A199" s="13" t="s">
        <v>60</v>
      </c>
      <c r="B199" s="10" t="s">
        <v>200</v>
      </c>
      <c r="C199" s="10" t="s">
        <v>57</v>
      </c>
      <c r="D199" s="10" t="s">
        <v>61</v>
      </c>
      <c r="E199" s="10"/>
      <c r="F199" s="11"/>
      <c r="G199" s="12">
        <f>G200+G202</f>
        <v>2760</v>
      </c>
      <c r="H199" s="12">
        <f>H200+H202</f>
        <v>0</v>
      </c>
      <c r="I199" s="68"/>
    </row>
    <row r="200" spans="1:9" ht="15.75" hidden="1">
      <c r="A200" s="13" t="s">
        <v>108</v>
      </c>
      <c r="B200" s="10" t="s">
        <v>200</v>
      </c>
      <c r="C200" s="10" t="s">
        <v>57</v>
      </c>
      <c r="D200" s="10" t="s">
        <v>61</v>
      </c>
      <c r="E200" s="10" t="s">
        <v>115</v>
      </c>
      <c r="F200" s="11"/>
      <c r="G200" s="12">
        <f>G201</f>
        <v>0</v>
      </c>
      <c r="H200" s="12">
        <f>H201</f>
        <v>0</v>
      </c>
      <c r="I200" s="68"/>
    </row>
    <row r="201" spans="1:12" ht="15.75" hidden="1">
      <c r="A201" s="21" t="s">
        <v>120</v>
      </c>
      <c r="B201" s="15" t="s">
        <v>200</v>
      </c>
      <c r="C201" s="15" t="s">
        <v>57</v>
      </c>
      <c r="D201" s="15" t="s">
        <v>61</v>
      </c>
      <c r="E201" s="15" t="s">
        <v>115</v>
      </c>
      <c r="F201" s="16" t="s">
        <v>101</v>
      </c>
      <c r="G201" s="12">
        <f>4200-3200+L201</f>
        <v>0</v>
      </c>
      <c r="H201" s="12">
        <v>0</v>
      </c>
      <c r="I201" s="68"/>
      <c r="L201" s="1">
        <v>-1000</v>
      </c>
    </row>
    <row r="202" spans="1:9" ht="15.75">
      <c r="A202" s="17" t="s">
        <v>201</v>
      </c>
      <c r="B202" s="10" t="s">
        <v>200</v>
      </c>
      <c r="C202" s="10" t="s">
        <v>57</v>
      </c>
      <c r="D202" s="10" t="s">
        <v>61</v>
      </c>
      <c r="E202" s="10" t="s">
        <v>202</v>
      </c>
      <c r="F202" s="11"/>
      <c r="G202" s="12">
        <f>G203+G204</f>
        <v>2760</v>
      </c>
      <c r="H202" s="12">
        <f>H203</f>
        <v>0</v>
      </c>
      <c r="I202" s="68"/>
    </row>
    <row r="203" spans="1:16" ht="15.75">
      <c r="A203" s="21" t="s">
        <v>120</v>
      </c>
      <c r="B203" s="15" t="s">
        <v>200</v>
      </c>
      <c r="C203" s="15" t="s">
        <v>57</v>
      </c>
      <c r="D203" s="15" t="s">
        <v>61</v>
      </c>
      <c r="E203" s="15" t="s">
        <v>202</v>
      </c>
      <c r="F203" s="16" t="s">
        <v>101</v>
      </c>
      <c r="G203" s="12">
        <f>3000+1600+J203+N203</f>
        <v>1860</v>
      </c>
      <c r="H203" s="12">
        <v>0</v>
      </c>
      <c r="I203" s="68"/>
      <c r="J203" s="1">
        <v>260</v>
      </c>
      <c r="N203" s="1">
        <f>-3000-260+260</f>
        <v>-3000</v>
      </c>
      <c r="P203" s="1">
        <v>260</v>
      </c>
    </row>
    <row r="204" spans="1:9" ht="31.5">
      <c r="A204" s="21" t="s">
        <v>273</v>
      </c>
      <c r="B204" s="15" t="s">
        <v>200</v>
      </c>
      <c r="C204" s="15" t="s">
        <v>57</v>
      </c>
      <c r="D204" s="15" t="s">
        <v>61</v>
      </c>
      <c r="E204" s="15" t="s">
        <v>202</v>
      </c>
      <c r="F204" s="16" t="s">
        <v>267</v>
      </c>
      <c r="G204" s="12">
        <v>900</v>
      </c>
      <c r="H204" s="12">
        <v>0</v>
      </c>
      <c r="I204" s="68"/>
    </row>
    <row r="205" spans="1:9" ht="15.75">
      <c r="A205" s="17"/>
      <c r="B205" s="10"/>
      <c r="C205" s="10"/>
      <c r="D205" s="10"/>
      <c r="E205" s="10"/>
      <c r="F205" s="11"/>
      <c r="G205" s="12"/>
      <c r="H205" s="12"/>
      <c r="I205" s="68"/>
    </row>
    <row r="206" spans="1:9" ht="31.5" hidden="1">
      <c r="A206" s="13" t="s">
        <v>62</v>
      </c>
      <c r="B206" s="10" t="s">
        <v>200</v>
      </c>
      <c r="C206" s="10" t="s">
        <v>57</v>
      </c>
      <c r="D206" s="10" t="s">
        <v>63</v>
      </c>
      <c r="E206" s="10"/>
      <c r="F206" s="11"/>
      <c r="G206" s="12">
        <f>G207</f>
        <v>0</v>
      </c>
      <c r="H206" s="12"/>
      <c r="I206" s="68"/>
    </row>
    <row r="207" spans="1:9" ht="29.25" customHeight="1" hidden="1">
      <c r="A207" s="13" t="s">
        <v>8</v>
      </c>
      <c r="B207" s="10" t="s">
        <v>200</v>
      </c>
      <c r="C207" s="10" t="s">
        <v>57</v>
      </c>
      <c r="D207" s="10" t="s">
        <v>63</v>
      </c>
      <c r="E207" s="10" t="s">
        <v>316</v>
      </c>
      <c r="F207" s="11"/>
      <c r="G207" s="12">
        <f>G208</f>
        <v>0</v>
      </c>
      <c r="H207" s="12"/>
      <c r="I207" s="68"/>
    </row>
    <row r="208" spans="1:9" ht="27.75" customHeight="1" hidden="1">
      <c r="A208" s="13" t="s">
        <v>317</v>
      </c>
      <c r="B208" s="10" t="s">
        <v>200</v>
      </c>
      <c r="C208" s="10" t="s">
        <v>57</v>
      </c>
      <c r="D208" s="10" t="s">
        <v>63</v>
      </c>
      <c r="E208" s="10" t="s">
        <v>316</v>
      </c>
      <c r="F208" s="11" t="s">
        <v>154</v>
      </c>
      <c r="G208" s="12">
        <f>Q208</f>
        <v>0</v>
      </c>
      <c r="H208" s="12"/>
      <c r="I208" s="68"/>
    </row>
    <row r="209" spans="1:9" ht="15.75" hidden="1">
      <c r="A209" s="17"/>
      <c r="B209" s="10"/>
      <c r="C209" s="10"/>
      <c r="D209" s="10"/>
      <c r="E209" s="10"/>
      <c r="F209" s="11"/>
      <c r="G209" s="12"/>
      <c r="H209" s="12"/>
      <c r="I209" s="68"/>
    </row>
    <row r="210" spans="1:9" ht="15.75">
      <c r="A210" s="13" t="s">
        <v>20</v>
      </c>
      <c r="B210" s="10" t="s">
        <v>200</v>
      </c>
      <c r="C210" s="10" t="s">
        <v>41</v>
      </c>
      <c r="D210" s="10"/>
      <c r="E210" s="10"/>
      <c r="F210" s="11"/>
      <c r="G210" s="12">
        <f>G211+G215+G221</f>
        <v>213988</v>
      </c>
      <c r="H210" s="12">
        <f>H211+H215</f>
        <v>0</v>
      </c>
      <c r="I210" s="68"/>
    </row>
    <row r="211" spans="1:9" ht="15.75">
      <c r="A211" s="13" t="s">
        <v>203</v>
      </c>
      <c r="B211" s="10" t="s">
        <v>200</v>
      </c>
      <c r="C211" s="10" t="s">
        <v>41</v>
      </c>
      <c r="D211" s="10" t="s">
        <v>37</v>
      </c>
      <c r="E211" s="10"/>
      <c r="F211" s="11"/>
      <c r="G211" s="12">
        <f>G212</f>
        <v>48465</v>
      </c>
      <c r="H211" s="12">
        <f>H212</f>
        <v>0</v>
      </c>
      <c r="I211" s="68"/>
    </row>
    <row r="212" spans="1:9" ht="15.75">
      <c r="A212" s="21" t="s">
        <v>205</v>
      </c>
      <c r="B212" s="10" t="s">
        <v>200</v>
      </c>
      <c r="C212" s="10" t="s">
        <v>41</v>
      </c>
      <c r="D212" s="10" t="s">
        <v>37</v>
      </c>
      <c r="E212" s="15" t="s">
        <v>204</v>
      </c>
      <c r="F212" s="16"/>
      <c r="G212" s="12">
        <f>G213</f>
        <v>48465</v>
      </c>
      <c r="H212" s="12">
        <f>H213</f>
        <v>0</v>
      </c>
      <c r="I212" s="68"/>
    </row>
    <row r="213" spans="1:17" ht="15.75">
      <c r="A213" s="21" t="s">
        <v>120</v>
      </c>
      <c r="B213" s="10" t="s">
        <v>200</v>
      </c>
      <c r="C213" s="10" t="s">
        <v>41</v>
      </c>
      <c r="D213" s="10" t="s">
        <v>37</v>
      </c>
      <c r="E213" s="15" t="s">
        <v>204</v>
      </c>
      <c r="F213" s="16" t="s">
        <v>101</v>
      </c>
      <c r="G213" s="12">
        <f>27564+32658+J213+K213+N213+Q213</f>
        <v>48465</v>
      </c>
      <c r="H213" s="12">
        <v>0</v>
      </c>
      <c r="I213" s="68"/>
      <c r="J213" s="1">
        <f>2042-10</f>
        <v>2032</v>
      </c>
      <c r="K213" s="1">
        <v>341</v>
      </c>
      <c r="N213" s="1">
        <f>-650-13525-685-1347+2032</f>
        <v>-14175</v>
      </c>
      <c r="P213" s="1">
        <v>2032.1</v>
      </c>
      <c r="Q213" s="1">
        <f>110-65</f>
        <v>45</v>
      </c>
    </row>
    <row r="214" spans="1:9" ht="15.75">
      <c r="A214" s="21"/>
      <c r="B214" s="10"/>
      <c r="C214" s="10"/>
      <c r="D214" s="10"/>
      <c r="E214" s="15"/>
      <c r="F214" s="16"/>
      <c r="G214" s="12"/>
      <c r="H214" s="12"/>
      <c r="I214" s="68"/>
    </row>
    <row r="215" spans="1:9" ht="15.75">
      <c r="A215" s="21" t="s">
        <v>10</v>
      </c>
      <c r="B215" s="10" t="s">
        <v>200</v>
      </c>
      <c r="C215" s="10" t="s">
        <v>41</v>
      </c>
      <c r="D215" s="10" t="s">
        <v>38</v>
      </c>
      <c r="E215" s="15"/>
      <c r="F215" s="16"/>
      <c r="G215" s="12">
        <f>G216</f>
        <v>161916</v>
      </c>
      <c r="H215" s="12">
        <f>H216</f>
        <v>0</v>
      </c>
      <c r="I215" s="68"/>
    </row>
    <row r="216" spans="1:9" ht="15.75" customHeight="1">
      <c r="A216" s="21" t="s">
        <v>11</v>
      </c>
      <c r="B216" s="10" t="s">
        <v>200</v>
      </c>
      <c r="C216" s="10" t="s">
        <v>41</v>
      </c>
      <c r="D216" s="10" t="s">
        <v>38</v>
      </c>
      <c r="E216" s="15" t="s">
        <v>12</v>
      </c>
      <c r="F216" s="16"/>
      <c r="G216" s="12">
        <f>G217+G218+G219</f>
        <v>161916</v>
      </c>
      <c r="H216" s="12">
        <f>H217+H219</f>
        <v>0</v>
      </c>
      <c r="I216" s="68"/>
    </row>
    <row r="217" spans="1:17" ht="15.75">
      <c r="A217" s="21" t="s">
        <v>120</v>
      </c>
      <c r="B217" s="10" t="s">
        <v>200</v>
      </c>
      <c r="C217" s="10" t="s">
        <v>41</v>
      </c>
      <c r="D217" s="10" t="s">
        <v>38</v>
      </c>
      <c r="E217" s="15" t="s">
        <v>12</v>
      </c>
      <c r="F217" s="16" t="s">
        <v>101</v>
      </c>
      <c r="G217" s="12">
        <f>6622+13051-1600+K217+N217+Q217</f>
        <v>66568</v>
      </c>
      <c r="H217" s="12">
        <v>0</v>
      </c>
      <c r="I217" s="68"/>
      <c r="K217" s="1">
        <v>1000</v>
      </c>
      <c r="N217" s="1">
        <f>-120+47412</f>
        <v>47292</v>
      </c>
      <c r="Q217" s="1">
        <v>203</v>
      </c>
    </row>
    <row r="218" spans="1:17" ht="63">
      <c r="A218" s="21" t="s">
        <v>274</v>
      </c>
      <c r="B218" s="10" t="s">
        <v>200</v>
      </c>
      <c r="C218" s="10" t="s">
        <v>41</v>
      </c>
      <c r="D218" s="10" t="s">
        <v>38</v>
      </c>
      <c r="E218" s="15" t="s">
        <v>12</v>
      </c>
      <c r="F218" s="16" t="s">
        <v>206</v>
      </c>
      <c r="G218" s="12">
        <f>1600+K218+N218+Q218</f>
        <v>30</v>
      </c>
      <c r="H218" s="12">
        <v>0</v>
      </c>
      <c r="I218" s="68"/>
      <c r="K218" s="1">
        <v>-1000</v>
      </c>
      <c r="N218" s="1">
        <v>-300</v>
      </c>
      <c r="Q218" s="1">
        <v>-270</v>
      </c>
    </row>
    <row r="219" spans="1:17" ht="31.5">
      <c r="A219" s="21" t="s">
        <v>190</v>
      </c>
      <c r="B219" s="10" t="s">
        <v>200</v>
      </c>
      <c r="C219" s="10" t="s">
        <v>41</v>
      </c>
      <c r="D219" s="10" t="s">
        <v>38</v>
      </c>
      <c r="E219" s="15" t="s">
        <v>12</v>
      </c>
      <c r="F219" s="16" t="s">
        <v>184</v>
      </c>
      <c r="G219" s="12">
        <f>98789-371+3200+800+J219+K219+N219+Q219</f>
        <v>95318</v>
      </c>
      <c r="H219" s="12">
        <v>0</v>
      </c>
      <c r="I219" s="68"/>
      <c r="J219" s="1">
        <v>107</v>
      </c>
      <c r="K219" s="1">
        <v>1008</v>
      </c>
      <c r="N219" s="1">
        <f>-330-8493-107+107</f>
        <v>-8823</v>
      </c>
      <c r="P219" s="1">
        <v>106.7</v>
      </c>
      <c r="Q219" s="1">
        <v>608</v>
      </c>
    </row>
    <row r="220" spans="1:9" ht="15.75">
      <c r="A220" s="21"/>
      <c r="B220" s="10"/>
      <c r="C220" s="10"/>
      <c r="D220" s="10"/>
      <c r="E220" s="15"/>
      <c r="F220" s="16"/>
      <c r="G220" s="12"/>
      <c r="H220" s="12"/>
      <c r="I220" s="68"/>
    </row>
    <row r="221" spans="1:9" ht="31.5">
      <c r="A221" s="21" t="s">
        <v>17</v>
      </c>
      <c r="B221" s="10" t="s">
        <v>200</v>
      </c>
      <c r="C221" s="10" t="s">
        <v>41</v>
      </c>
      <c r="D221" s="10" t="s">
        <v>57</v>
      </c>
      <c r="E221" s="15"/>
      <c r="F221" s="16"/>
      <c r="G221" s="12">
        <f>G222</f>
        <v>3607</v>
      </c>
      <c r="H221" s="12">
        <f>H222</f>
        <v>0</v>
      </c>
      <c r="I221" s="68"/>
    </row>
    <row r="222" spans="1:9" ht="31.5">
      <c r="A222" s="21" t="s">
        <v>295</v>
      </c>
      <c r="B222" s="10" t="s">
        <v>200</v>
      </c>
      <c r="C222" s="10" t="s">
        <v>41</v>
      </c>
      <c r="D222" s="10" t="s">
        <v>57</v>
      </c>
      <c r="E222" s="15" t="s">
        <v>270</v>
      </c>
      <c r="F222" s="16"/>
      <c r="G222" s="12">
        <f>G224+G223</f>
        <v>3607</v>
      </c>
      <c r="H222" s="12">
        <f>H224+H223</f>
        <v>0</v>
      </c>
      <c r="I222" s="68"/>
    </row>
    <row r="223" spans="1:17" ht="15.75">
      <c r="A223" s="21" t="s">
        <v>120</v>
      </c>
      <c r="B223" s="10" t="s">
        <v>200</v>
      </c>
      <c r="C223" s="10" t="s">
        <v>41</v>
      </c>
      <c r="D223" s="10" t="s">
        <v>57</v>
      </c>
      <c r="E223" s="15" t="s">
        <v>270</v>
      </c>
      <c r="F223" s="16" t="s">
        <v>101</v>
      </c>
      <c r="G223" s="12">
        <f>+K223+N223+Q223</f>
        <v>975</v>
      </c>
      <c r="H223" s="12">
        <v>0</v>
      </c>
      <c r="I223" s="68"/>
      <c r="K223" s="1">
        <v>920</v>
      </c>
      <c r="N223" s="1">
        <f>-920+920</f>
        <v>0</v>
      </c>
      <c r="Q223" s="1">
        <v>55</v>
      </c>
    </row>
    <row r="224" spans="1:17" ht="31.5">
      <c r="A224" s="21" t="s">
        <v>272</v>
      </c>
      <c r="B224" s="10" t="s">
        <v>200</v>
      </c>
      <c r="C224" s="10" t="s">
        <v>41</v>
      </c>
      <c r="D224" s="10" t="s">
        <v>57</v>
      </c>
      <c r="E224" s="15" t="s">
        <v>270</v>
      </c>
      <c r="F224" s="16" t="s">
        <v>271</v>
      </c>
      <c r="G224" s="12">
        <f>600+480+700+J224+N224+Q224</f>
        <v>2632</v>
      </c>
      <c r="H224" s="12">
        <v>0</v>
      </c>
      <c r="I224" s="68"/>
      <c r="J224" s="1">
        <v>863</v>
      </c>
      <c r="N224" s="1">
        <f>-600-332-311-220+863+680</f>
        <v>80</v>
      </c>
      <c r="P224" s="1">
        <v>863.4</v>
      </c>
      <c r="Q224" s="1">
        <v>-91</v>
      </c>
    </row>
    <row r="225" spans="1:9" ht="15.75">
      <c r="A225" s="17"/>
      <c r="B225" s="10"/>
      <c r="C225" s="10"/>
      <c r="D225" s="10"/>
      <c r="E225" s="10"/>
      <c r="F225" s="11"/>
      <c r="G225" s="12"/>
      <c r="H225" s="12"/>
      <c r="I225" s="68"/>
    </row>
    <row r="226" spans="1:17" ht="31.5">
      <c r="A226" s="9" t="s">
        <v>169</v>
      </c>
      <c r="B226" s="10" t="s">
        <v>109</v>
      </c>
      <c r="C226" s="10"/>
      <c r="D226" s="10"/>
      <c r="E226" s="10"/>
      <c r="F226" s="11"/>
      <c r="G226" s="12">
        <f>G227</f>
        <v>51822</v>
      </c>
      <c r="H226" s="12">
        <f>H227</f>
        <v>0</v>
      </c>
      <c r="I226" s="68">
        <f>SUM(I228:I244)</f>
        <v>108154</v>
      </c>
      <c r="J226" s="1">
        <f>SUM(J227:J244)</f>
        <v>-94492</v>
      </c>
      <c r="K226" s="1">
        <f>SUM(K227:K244)</f>
        <v>55</v>
      </c>
      <c r="N226" s="1">
        <f>SUM(N227:N243)</f>
        <v>-1665</v>
      </c>
      <c r="Q226" s="2">
        <f>SUM(Q227:Q243)</f>
        <v>-11931</v>
      </c>
    </row>
    <row r="227" spans="1:9" ht="15.75">
      <c r="A227" s="21" t="s">
        <v>104</v>
      </c>
      <c r="B227" s="15" t="s">
        <v>109</v>
      </c>
      <c r="C227" s="15" t="s">
        <v>55</v>
      </c>
      <c r="D227" s="10"/>
      <c r="E227" s="10"/>
      <c r="F227" s="11"/>
      <c r="G227" s="12">
        <f>G228+G232+G236</f>
        <v>51822</v>
      </c>
      <c r="H227" s="12">
        <f>H228+H232+H236</f>
        <v>0</v>
      </c>
      <c r="I227" s="68"/>
    </row>
    <row r="228" spans="1:9" ht="15.75">
      <c r="A228" s="21" t="s">
        <v>207</v>
      </c>
      <c r="B228" s="15" t="s">
        <v>109</v>
      </c>
      <c r="C228" s="15" t="s">
        <v>55</v>
      </c>
      <c r="D228" s="10" t="s">
        <v>37</v>
      </c>
      <c r="E228" s="10"/>
      <c r="F228" s="11"/>
      <c r="G228" s="12">
        <f>G229</f>
        <v>3460</v>
      </c>
      <c r="H228" s="12">
        <f>H229</f>
        <v>0</v>
      </c>
      <c r="I228" s="68"/>
    </row>
    <row r="229" spans="1:9" ht="15.75">
      <c r="A229" s="21" t="s">
        <v>209</v>
      </c>
      <c r="B229" s="15" t="s">
        <v>109</v>
      </c>
      <c r="C229" s="15" t="s">
        <v>55</v>
      </c>
      <c r="D229" s="10" t="s">
        <v>37</v>
      </c>
      <c r="E229" s="10" t="s">
        <v>208</v>
      </c>
      <c r="F229" s="11"/>
      <c r="G229" s="12">
        <f>G230</f>
        <v>3460</v>
      </c>
      <c r="H229" s="12">
        <f>H230</f>
        <v>0</v>
      </c>
      <c r="I229" s="68"/>
    </row>
    <row r="230" spans="1:9" ht="15.75">
      <c r="A230" s="21" t="s">
        <v>210</v>
      </c>
      <c r="B230" s="15" t="s">
        <v>109</v>
      </c>
      <c r="C230" s="15" t="s">
        <v>55</v>
      </c>
      <c r="D230" s="10" t="s">
        <v>37</v>
      </c>
      <c r="E230" s="10" t="s">
        <v>208</v>
      </c>
      <c r="F230" s="11" t="s">
        <v>211</v>
      </c>
      <c r="G230" s="12">
        <v>3460</v>
      </c>
      <c r="H230" s="12">
        <v>0</v>
      </c>
      <c r="I230" s="68"/>
    </row>
    <row r="231" spans="1:9" ht="15.75">
      <c r="A231" s="21"/>
      <c r="B231" s="15"/>
      <c r="C231" s="15"/>
      <c r="D231" s="10"/>
      <c r="E231" s="10"/>
      <c r="F231" s="11"/>
      <c r="G231" s="12"/>
      <c r="H231" s="12"/>
      <c r="I231" s="68"/>
    </row>
    <row r="232" spans="1:9" ht="15.75" customHeight="1">
      <c r="A232" s="21" t="s">
        <v>235</v>
      </c>
      <c r="B232" s="15" t="s">
        <v>109</v>
      </c>
      <c r="C232" s="15" t="s">
        <v>55</v>
      </c>
      <c r="D232" s="10" t="s">
        <v>38</v>
      </c>
      <c r="E232" s="10"/>
      <c r="F232" s="11"/>
      <c r="G232" s="12">
        <f>G233</f>
        <v>4212</v>
      </c>
      <c r="H232" s="12">
        <f>H233</f>
        <v>0</v>
      </c>
      <c r="I232" s="68"/>
    </row>
    <row r="233" spans="1:9" ht="15.75">
      <c r="A233" s="17" t="s">
        <v>126</v>
      </c>
      <c r="B233" s="10" t="s">
        <v>109</v>
      </c>
      <c r="C233" s="10" t="s">
        <v>55</v>
      </c>
      <c r="D233" s="10" t="s">
        <v>38</v>
      </c>
      <c r="E233" s="10" t="s">
        <v>127</v>
      </c>
      <c r="F233" s="11"/>
      <c r="G233" s="12">
        <f>G234</f>
        <v>4212</v>
      </c>
      <c r="H233" s="12">
        <f>H234</f>
        <v>0</v>
      </c>
      <c r="I233" s="68"/>
    </row>
    <row r="234" spans="1:16" ht="31.5">
      <c r="A234" s="17" t="s">
        <v>134</v>
      </c>
      <c r="B234" s="10" t="s">
        <v>109</v>
      </c>
      <c r="C234" s="10" t="s">
        <v>55</v>
      </c>
      <c r="D234" s="10" t="s">
        <v>38</v>
      </c>
      <c r="E234" s="10" t="s">
        <v>127</v>
      </c>
      <c r="F234" s="11" t="s">
        <v>135</v>
      </c>
      <c r="G234" s="84">
        <f>3400+J234+K234+N234</f>
        <v>4212</v>
      </c>
      <c r="H234" s="12">
        <v>0</v>
      </c>
      <c r="I234" s="68"/>
      <c r="J234" s="1">
        <v>15</v>
      </c>
      <c r="K234" s="1">
        <v>800</v>
      </c>
      <c r="N234" s="1">
        <f>-3-15+15</f>
        <v>-3</v>
      </c>
      <c r="P234" s="1">
        <v>15</v>
      </c>
    </row>
    <row r="235" spans="1:9" ht="15.75">
      <c r="A235" s="17"/>
      <c r="B235" s="10"/>
      <c r="C235" s="10"/>
      <c r="D235" s="10"/>
      <c r="E235" s="10"/>
      <c r="F235" s="11"/>
      <c r="G235" s="12"/>
      <c r="H235" s="12"/>
      <c r="I235" s="68"/>
    </row>
    <row r="236" spans="1:9" ht="31.5">
      <c r="A236" s="13" t="s">
        <v>79</v>
      </c>
      <c r="B236" s="10" t="s">
        <v>109</v>
      </c>
      <c r="C236" s="10" t="s">
        <v>55</v>
      </c>
      <c r="D236" s="10" t="s">
        <v>59</v>
      </c>
      <c r="E236" s="10"/>
      <c r="F236" s="11"/>
      <c r="G236" s="12">
        <f>G237+G239</f>
        <v>44150</v>
      </c>
      <c r="H236" s="12">
        <f>H237+H239</f>
        <v>0</v>
      </c>
      <c r="I236" s="68"/>
    </row>
    <row r="237" spans="1:9" ht="31.5">
      <c r="A237" s="13" t="s">
        <v>81</v>
      </c>
      <c r="B237" s="10" t="s">
        <v>109</v>
      </c>
      <c r="C237" s="10" t="s">
        <v>55</v>
      </c>
      <c r="D237" s="10" t="s">
        <v>59</v>
      </c>
      <c r="E237" s="10" t="s">
        <v>82</v>
      </c>
      <c r="F237" s="11"/>
      <c r="G237" s="12">
        <f>G238</f>
        <v>14471</v>
      </c>
      <c r="H237" s="12">
        <f>H238</f>
        <v>0</v>
      </c>
      <c r="I237" s="68"/>
    </row>
    <row r="238" spans="1:17" ht="15.75">
      <c r="A238" s="14" t="s">
        <v>22</v>
      </c>
      <c r="B238" s="15" t="s">
        <v>109</v>
      </c>
      <c r="C238" s="15" t="s">
        <v>55</v>
      </c>
      <c r="D238" s="15" t="s">
        <v>59</v>
      </c>
      <c r="E238" s="15" t="s">
        <v>82</v>
      </c>
      <c r="F238" s="16" t="s">
        <v>23</v>
      </c>
      <c r="G238" s="12">
        <f>14481+250+K238+N238+S238+Q238</f>
        <v>14471</v>
      </c>
      <c r="H238" s="12">
        <v>0</v>
      </c>
      <c r="I238" s="68"/>
      <c r="K238" s="1">
        <f>-820-200</f>
        <v>-1020</v>
      </c>
      <c r="N238" s="1">
        <v>-100</v>
      </c>
      <c r="Q238" s="1">
        <v>860</v>
      </c>
    </row>
    <row r="239" spans="1:9" ht="31.5">
      <c r="A239" s="25" t="s">
        <v>116</v>
      </c>
      <c r="B239" s="15" t="s">
        <v>109</v>
      </c>
      <c r="C239" s="15" t="s">
        <v>55</v>
      </c>
      <c r="D239" s="15" t="s">
        <v>59</v>
      </c>
      <c r="E239" s="15" t="s">
        <v>117</v>
      </c>
      <c r="F239" s="16"/>
      <c r="G239" s="12">
        <f>G240+G243+G244</f>
        <v>29679</v>
      </c>
      <c r="H239" s="12">
        <f>H240+H243</f>
        <v>0</v>
      </c>
      <c r="I239" s="68"/>
    </row>
    <row r="240" spans="1:17" ht="31.5">
      <c r="A240" s="14" t="s">
        <v>31</v>
      </c>
      <c r="B240" s="15" t="s">
        <v>109</v>
      </c>
      <c r="C240" s="15" t="s">
        <v>55</v>
      </c>
      <c r="D240" s="15" t="s">
        <v>59</v>
      </c>
      <c r="E240" s="15" t="s">
        <v>117</v>
      </c>
      <c r="F240" s="16" t="s">
        <v>110</v>
      </c>
      <c r="G240" s="12">
        <f>G241+G242+Q240</f>
        <v>13293</v>
      </c>
      <c r="H240" s="12">
        <v>0</v>
      </c>
      <c r="I240" s="68"/>
      <c r="Q240" s="1">
        <v>158</v>
      </c>
    </row>
    <row r="241" spans="1:14" ht="15.75" hidden="1">
      <c r="A241" s="53" t="s">
        <v>233</v>
      </c>
      <c r="B241" s="15"/>
      <c r="C241" s="15"/>
      <c r="D241" s="15"/>
      <c r="E241" s="15"/>
      <c r="F241" s="16"/>
      <c r="G241" s="12">
        <f>10865+100+J241+K241+N241</f>
        <v>11792</v>
      </c>
      <c r="H241" s="12">
        <v>0</v>
      </c>
      <c r="I241" s="68"/>
      <c r="J241" s="1">
        <v>608</v>
      </c>
      <c r="K241" s="1">
        <v>275</v>
      </c>
      <c r="N241" s="1">
        <v>-56</v>
      </c>
    </row>
    <row r="242" spans="1:14" ht="15.75" hidden="1">
      <c r="A242" s="53" t="s">
        <v>234</v>
      </c>
      <c r="B242" s="15"/>
      <c r="C242" s="15"/>
      <c r="D242" s="15"/>
      <c r="E242" s="15"/>
      <c r="F242" s="16"/>
      <c r="G242" s="12">
        <f>1209+50+J242+N242</f>
        <v>1343</v>
      </c>
      <c r="H242" s="12">
        <v>0</v>
      </c>
      <c r="I242" s="68"/>
      <c r="J242" s="1">
        <v>90</v>
      </c>
      <c r="N242" s="1">
        <v>-6</v>
      </c>
    </row>
    <row r="243" spans="1:17" ht="31.5">
      <c r="A243" s="17" t="s">
        <v>134</v>
      </c>
      <c r="B243" s="15" t="s">
        <v>109</v>
      </c>
      <c r="C243" s="15" t="s">
        <v>55</v>
      </c>
      <c r="D243" s="15" t="s">
        <v>59</v>
      </c>
      <c r="E243" s="15" t="s">
        <v>117</v>
      </c>
      <c r="F243" s="16" t="s">
        <v>135</v>
      </c>
      <c r="G243" s="12">
        <f>15886+1000+1000+I243+L243+N243+S243+Q243</f>
        <v>16386</v>
      </c>
      <c r="H243" s="12">
        <v>0</v>
      </c>
      <c r="I243" s="68">
        <v>12949</v>
      </c>
      <c r="N243" s="1">
        <v>-1500</v>
      </c>
      <c r="Q243" s="1">
        <v>-12949</v>
      </c>
    </row>
    <row r="244" spans="1:10" ht="75.75" customHeight="1" hidden="1">
      <c r="A244" s="17" t="s">
        <v>294</v>
      </c>
      <c r="B244" s="15" t="s">
        <v>109</v>
      </c>
      <c r="C244" s="15" t="s">
        <v>55</v>
      </c>
      <c r="D244" s="15" t="s">
        <v>59</v>
      </c>
      <c r="E244" s="15" t="s">
        <v>117</v>
      </c>
      <c r="F244" s="16" t="s">
        <v>293</v>
      </c>
      <c r="G244" s="12">
        <f>I244+J244</f>
        <v>0</v>
      </c>
      <c r="H244" s="12">
        <v>0</v>
      </c>
      <c r="I244" s="68">
        <v>95205</v>
      </c>
      <c r="J244" s="1">
        <v>-95205</v>
      </c>
    </row>
    <row r="245" spans="1:9" ht="15.75">
      <c r="A245" s="17"/>
      <c r="B245" s="10"/>
      <c r="C245" s="10"/>
      <c r="D245" s="10"/>
      <c r="E245" s="10"/>
      <c r="F245" s="11"/>
      <c r="G245" s="12"/>
      <c r="H245" s="12"/>
      <c r="I245" s="68"/>
    </row>
    <row r="246" spans="1:17" ht="31.5">
      <c r="A246" s="26" t="s">
        <v>212</v>
      </c>
      <c r="B246" s="10" t="s">
        <v>111</v>
      </c>
      <c r="C246" s="10"/>
      <c r="D246" s="10"/>
      <c r="E246" s="10"/>
      <c r="F246" s="11"/>
      <c r="G246" s="12">
        <f>G247+G252</f>
        <v>10674</v>
      </c>
      <c r="H246" s="12">
        <f>H247+H252</f>
        <v>0</v>
      </c>
      <c r="I246" s="68"/>
      <c r="K246" s="1">
        <f>SUM(K247:K255)</f>
        <v>-452</v>
      </c>
      <c r="N246" s="1">
        <f>SUM(N247:N255)</f>
        <v>-100</v>
      </c>
      <c r="Q246" s="2">
        <f>SUM(Q247:Q255)</f>
        <v>477</v>
      </c>
    </row>
    <row r="247" spans="1:9" ht="15.75">
      <c r="A247" s="13" t="s">
        <v>24</v>
      </c>
      <c r="B247" s="10" t="s">
        <v>111</v>
      </c>
      <c r="C247" s="10" t="s">
        <v>37</v>
      </c>
      <c r="D247" s="10"/>
      <c r="E247" s="10"/>
      <c r="F247" s="11"/>
      <c r="G247" s="12">
        <f aca="true" t="shared" si="9" ref="G247:H249">G248</f>
        <v>9174</v>
      </c>
      <c r="H247" s="12">
        <f t="shared" si="9"/>
        <v>0</v>
      </c>
      <c r="I247" s="68"/>
    </row>
    <row r="248" spans="1:9" ht="31.5">
      <c r="A248" s="13" t="s">
        <v>48</v>
      </c>
      <c r="B248" s="10" t="s">
        <v>111</v>
      </c>
      <c r="C248" s="10" t="s">
        <v>37</v>
      </c>
      <c r="D248" s="10" t="s">
        <v>49</v>
      </c>
      <c r="E248" s="10"/>
      <c r="F248" s="11"/>
      <c r="G248" s="12">
        <f t="shared" si="9"/>
        <v>9174</v>
      </c>
      <c r="H248" s="12">
        <f t="shared" si="9"/>
        <v>0</v>
      </c>
      <c r="I248" s="68"/>
    </row>
    <row r="249" spans="1:9" ht="31.5">
      <c r="A249" s="13" t="s">
        <v>81</v>
      </c>
      <c r="B249" s="10" t="s">
        <v>111</v>
      </c>
      <c r="C249" s="10" t="s">
        <v>37</v>
      </c>
      <c r="D249" s="10" t="s">
        <v>49</v>
      </c>
      <c r="E249" s="10" t="s">
        <v>82</v>
      </c>
      <c r="F249" s="11"/>
      <c r="G249" s="12">
        <f t="shared" si="9"/>
        <v>9174</v>
      </c>
      <c r="H249" s="12">
        <f t="shared" si="9"/>
        <v>0</v>
      </c>
      <c r="I249" s="68"/>
    </row>
    <row r="250" spans="1:17" ht="15.75">
      <c r="A250" s="13" t="s">
        <v>22</v>
      </c>
      <c r="B250" s="15" t="s">
        <v>111</v>
      </c>
      <c r="C250" s="15" t="s">
        <v>37</v>
      </c>
      <c r="D250" s="15" t="s">
        <v>49</v>
      </c>
      <c r="E250" s="15" t="s">
        <v>82</v>
      </c>
      <c r="F250" s="16" t="s">
        <v>23</v>
      </c>
      <c r="G250" s="12">
        <f>6583+2466+200+K250+N250+S250+Q250</f>
        <v>9174</v>
      </c>
      <c r="H250" s="12">
        <v>0</v>
      </c>
      <c r="I250" s="68"/>
      <c r="K250" s="1">
        <f>-252-200</f>
        <v>-452</v>
      </c>
      <c r="N250" s="1">
        <v>-100</v>
      </c>
      <c r="Q250" s="1">
        <v>477</v>
      </c>
    </row>
    <row r="251" spans="1:9" ht="15.75">
      <c r="A251" s="13"/>
      <c r="B251" s="15"/>
      <c r="C251" s="15"/>
      <c r="D251" s="15"/>
      <c r="E251" s="15"/>
      <c r="F251" s="16"/>
      <c r="G251" s="12"/>
      <c r="H251" s="12"/>
      <c r="I251" s="68"/>
    </row>
    <row r="252" spans="1:9" ht="15.75">
      <c r="A252" s="13" t="s">
        <v>144</v>
      </c>
      <c r="B252" s="15" t="s">
        <v>111</v>
      </c>
      <c r="C252" s="15" t="s">
        <v>57</v>
      </c>
      <c r="D252" s="15"/>
      <c r="E252" s="15"/>
      <c r="F252" s="16"/>
      <c r="G252" s="12">
        <f aca="true" t="shared" si="10" ref="G252:H254">G253</f>
        <v>1500</v>
      </c>
      <c r="H252" s="12">
        <f t="shared" si="10"/>
        <v>0</v>
      </c>
      <c r="I252" s="68"/>
    </row>
    <row r="253" spans="1:9" ht="31.5">
      <c r="A253" s="13" t="s">
        <v>62</v>
      </c>
      <c r="B253" s="10" t="s">
        <v>111</v>
      </c>
      <c r="C253" s="10" t="s">
        <v>57</v>
      </c>
      <c r="D253" s="10" t="s">
        <v>63</v>
      </c>
      <c r="E253" s="10"/>
      <c r="F253" s="11"/>
      <c r="G253" s="12">
        <f t="shared" si="10"/>
        <v>1500</v>
      </c>
      <c r="H253" s="12">
        <f t="shared" si="10"/>
        <v>0</v>
      </c>
      <c r="I253" s="68"/>
    </row>
    <row r="254" spans="1:9" ht="15.75">
      <c r="A254" s="13" t="s">
        <v>222</v>
      </c>
      <c r="B254" s="10" t="s">
        <v>111</v>
      </c>
      <c r="C254" s="10" t="s">
        <v>57</v>
      </c>
      <c r="D254" s="10" t="s">
        <v>63</v>
      </c>
      <c r="E254" s="10" t="s">
        <v>221</v>
      </c>
      <c r="F254" s="11"/>
      <c r="G254" s="12">
        <f t="shared" si="10"/>
        <v>1500</v>
      </c>
      <c r="H254" s="12">
        <f t="shared" si="10"/>
        <v>0</v>
      </c>
      <c r="I254" s="68"/>
    </row>
    <row r="255" spans="1:9" ht="31.5">
      <c r="A255" s="13" t="s">
        <v>13</v>
      </c>
      <c r="B255" s="10" t="s">
        <v>111</v>
      </c>
      <c r="C255" s="10" t="s">
        <v>57</v>
      </c>
      <c r="D255" s="10" t="s">
        <v>63</v>
      </c>
      <c r="E255" s="10" t="s">
        <v>221</v>
      </c>
      <c r="F255" s="11" t="s">
        <v>14</v>
      </c>
      <c r="G255" s="12">
        <v>1500</v>
      </c>
      <c r="H255" s="12">
        <v>0</v>
      </c>
      <c r="I255" s="68"/>
    </row>
    <row r="256" spans="1:9" ht="15.75">
      <c r="A256" s="17"/>
      <c r="B256" s="10"/>
      <c r="C256" s="10"/>
      <c r="D256" s="10"/>
      <c r="E256" s="10"/>
      <c r="F256" s="11"/>
      <c r="G256" s="12"/>
      <c r="H256" s="12"/>
      <c r="I256" s="68"/>
    </row>
    <row r="257" spans="1:14" ht="15.75" hidden="1">
      <c r="A257" s="9" t="s">
        <v>215</v>
      </c>
      <c r="B257" s="10" t="s">
        <v>112</v>
      </c>
      <c r="C257" s="10"/>
      <c r="D257" s="10"/>
      <c r="E257" s="10"/>
      <c r="F257" s="11"/>
      <c r="G257" s="12">
        <f aca="true" t="shared" si="11" ref="G257:H259">G258</f>
        <v>0</v>
      </c>
      <c r="H257" s="12">
        <f t="shared" si="11"/>
        <v>0</v>
      </c>
      <c r="I257" s="68"/>
      <c r="J257" s="1">
        <f>SUM(J258:J261)</f>
        <v>82</v>
      </c>
      <c r="N257" s="1">
        <f>SUM(N258:N261)</f>
        <v>-1682</v>
      </c>
    </row>
    <row r="258" spans="1:9" ht="15.75" hidden="1">
      <c r="A258" s="21" t="s">
        <v>26</v>
      </c>
      <c r="B258" s="15" t="s">
        <v>112</v>
      </c>
      <c r="C258" s="15" t="s">
        <v>53</v>
      </c>
      <c r="D258" s="15"/>
      <c r="E258" s="15"/>
      <c r="F258" s="16"/>
      <c r="G258" s="12">
        <f t="shared" si="11"/>
        <v>0</v>
      </c>
      <c r="H258" s="12">
        <f t="shared" si="11"/>
        <v>0</v>
      </c>
      <c r="I258" s="68"/>
    </row>
    <row r="259" spans="1:9" ht="15.75" hidden="1">
      <c r="A259" s="14" t="s">
        <v>72</v>
      </c>
      <c r="B259" s="15" t="s">
        <v>112</v>
      </c>
      <c r="C259" s="15" t="s">
        <v>53</v>
      </c>
      <c r="D259" s="15" t="s">
        <v>38</v>
      </c>
      <c r="E259" s="15"/>
      <c r="F259" s="16"/>
      <c r="G259" s="12">
        <f t="shared" si="11"/>
        <v>0</v>
      </c>
      <c r="H259" s="12">
        <f t="shared" si="11"/>
        <v>0</v>
      </c>
      <c r="I259" s="68"/>
    </row>
    <row r="260" spans="1:9" ht="31.5" hidden="1">
      <c r="A260" s="14" t="s">
        <v>95</v>
      </c>
      <c r="B260" s="15" t="s">
        <v>112</v>
      </c>
      <c r="C260" s="15" t="s">
        <v>53</v>
      </c>
      <c r="D260" s="15" t="s">
        <v>38</v>
      </c>
      <c r="E260" s="15" t="s">
        <v>96</v>
      </c>
      <c r="F260" s="16"/>
      <c r="G260" s="12">
        <f>SUM(G261:G261)</f>
        <v>0</v>
      </c>
      <c r="H260" s="12">
        <f>SUM(H261:H261)</f>
        <v>0</v>
      </c>
      <c r="I260" s="68"/>
    </row>
    <row r="261" spans="1:14" ht="15.75" hidden="1">
      <c r="A261" s="17" t="s">
        <v>120</v>
      </c>
      <c r="B261" s="10" t="s">
        <v>112</v>
      </c>
      <c r="C261" s="10" t="s">
        <v>53</v>
      </c>
      <c r="D261" s="10" t="s">
        <v>38</v>
      </c>
      <c r="E261" s="10" t="s">
        <v>96</v>
      </c>
      <c r="F261" s="11" t="s">
        <v>101</v>
      </c>
      <c r="G261" s="12">
        <f>1400+200+J261+N261</f>
        <v>0</v>
      </c>
      <c r="H261" s="12">
        <v>0</v>
      </c>
      <c r="I261" s="68"/>
      <c r="J261" s="1">
        <f>90-8</f>
        <v>82</v>
      </c>
      <c r="N261" s="1">
        <v>-1682</v>
      </c>
    </row>
    <row r="262" spans="1:9" ht="15.75" hidden="1">
      <c r="A262" s="13"/>
      <c r="B262" s="10"/>
      <c r="C262" s="10"/>
      <c r="D262" s="10"/>
      <c r="E262" s="10"/>
      <c r="F262" s="11"/>
      <c r="G262" s="12"/>
      <c r="H262" s="12"/>
      <c r="I262" s="68"/>
    </row>
    <row r="263" spans="1:14" ht="15.75" hidden="1">
      <c r="A263" s="27" t="s">
        <v>216</v>
      </c>
      <c r="B263" s="10" t="s">
        <v>18</v>
      </c>
      <c r="C263" s="10"/>
      <c r="D263" s="10"/>
      <c r="E263" s="10"/>
      <c r="F263" s="11"/>
      <c r="G263" s="12">
        <f aca="true" t="shared" si="12" ref="G263:H266">G264</f>
        <v>0</v>
      </c>
      <c r="H263" s="12">
        <f t="shared" si="12"/>
        <v>0</v>
      </c>
      <c r="I263" s="68"/>
      <c r="N263" s="1">
        <f>SUM(N264:N267)</f>
        <v>-190</v>
      </c>
    </row>
    <row r="264" spans="1:9" ht="31.5" hidden="1">
      <c r="A264" s="18" t="s">
        <v>21</v>
      </c>
      <c r="B264" s="10" t="s">
        <v>18</v>
      </c>
      <c r="C264" s="10" t="s">
        <v>40</v>
      </c>
      <c r="D264" s="10"/>
      <c r="E264" s="10"/>
      <c r="F264" s="11"/>
      <c r="G264" s="12">
        <f t="shared" si="12"/>
        <v>0</v>
      </c>
      <c r="H264" s="12">
        <f t="shared" si="12"/>
        <v>0</v>
      </c>
      <c r="I264" s="68"/>
    </row>
    <row r="265" spans="1:9" ht="31.5" hidden="1">
      <c r="A265" s="18" t="s">
        <v>54</v>
      </c>
      <c r="B265" s="10" t="s">
        <v>18</v>
      </c>
      <c r="C265" s="10" t="s">
        <v>40</v>
      </c>
      <c r="D265" s="10" t="s">
        <v>55</v>
      </c>
      <c r="E265" s="10"/>
      <c r="F265" s="11"/>
      <c r="G265" s="12">
        <f t="shared" si="12"/>
        <v>0</v>
      </c>
      <c r="H265" s="12">
        <f t="shared" si="12"/>
        <v>0</v>
      </c>
      <c r="I265" s="68"/>
    </row>
    <row r="266" spans="1:9" ht="15.75" hidden="1">
      <c r="A266" s="18" t="s">
        <v>126</v>
      </c>
      <c r="B266" s="10" t="s">
        <v>18</v>
      </c>
      <c r="C266" s="10" t="s">
        <v>40</v>
      </c>
      <c r="D266" s="10" t="s">
        <v>55</v>
      </c>
      <c r="E266" s="10" t="s">
        <v>127</v>
      </c>
      <c r="F266" s="11"/>
      <c r="G266" s="12">
        <f t="shared" si="12"/>
        <v>0</v>
      </c>
      <c r="H266" s="12">
        <f t="shared" si="12"/>
        <v>0</v>
      </c>
      <c r="I266" s="68"/>
    </row>
    <row r="267" spans="1:14" ht="63" hidden="1">
      <c r="A267" s="18" t="s">
        <v>136</v>
      </c>
      <c r="B267" s="15" t="s">
        <v>18</v>
      </c>
      <c r="C267" s="15" t="s">
        <v>40</v>
      </c>
      <c r="D267" s="15" t="s">
        <v>55</v>
      </c>
      <c r="E267" s="15" t="s">
        <v>127</v>
      </c>
      <c r="F267" s="16" t="s">
        <v>137</v>
      </c>
      <c r="G267" s="84">
        <f>190+N267</f>
        <v>0</v>
      </c>
      <c r="H267" s="12">
        <v>0</v>
      </c>
      <c r="I267" s="68"/>
      <c r="N267" s="1">
        <v>-190</v>
      </c>
    </row>
    <row r="268" spans="1:9" ht="15.75" hidden="1">
      <c r="A268" s="18"/>
      <c r="B268" s="10"/>
      <c r="C268" s="10"/>
      <c r="D268" s="10"/>
      <c r="E268" s="10"/>
      <c r="F268" s="11"/>
      <c r="G268" s="12"/>
      <c r="H268" s="12"/>
      <c r="I268" s="68"/>
    </row>
    <row r="269" spans="1:14" ht="31.5">
      <c r="A269" s="26" t="s">
        <v>217</v>
      </c>
      <c r="B269" s="10" t="s">
        <v>113</v>
      </c>
      <c r="C269" s="10"/>
      <c r="D269" s="10"/>
      <c r="E269" s="10"/>
      <c r="F269" s="11"/>
      <c r="G269" s="12">
        <f aca="true" t="shared" si="13" ref="G269:H271">G270</f>
        <v>5900</v>
      </c>
      <c r="H269" s="12">
        <f t="shared" si="13"/>
        <v>0</v>
      </c>
      <c r="I269" s="68"/>
      <c r="N269" s="1">
        <f>SUM(N270:N273)</f>
        <v>-500</v>
      </c>
    </row>
    <row r="270" spans="1:9" ht="31.5">
      <c r="A270" s="19" t="s">
        <v>21</v>
      </c>
      <c r="B270" s="10" t="s">
        <v>113</v>
      </c>
      <c r="C270" s="10" t="s">
        <v>40</v>
      </c>
      <c r="D270" s="10"/>
      <c r="E270" s="10"/>
      <c r="F270" s="11"/>
      <c r="G270" s="12">
        <f t="shared" si="13"/>
        <v>5900</v>
      </c>
      <c r="H270" s="12">
        <f t="shared" si="13"/>
        <v>0</v>
      </c>
      <c r="I270" s="68"/>
    </row>
    <row r="271" spans="1:9" ht="15.75">
      <c r="A271" s="18" t="s">
        <v>51</v>
      </c>
      <c r="B271" s="10" t="s">
        <v>113</v>
      </c>
      <c r="C271" s="10" t="s">
        <v>40</v>
      </c>
      <c r="D271" s="10" t="s">
        <v>38</v>
      </c>
      <c r="E271" s="10"/>
      <c r="F271" s="11"/>
      <c r="G271" s="12">
        <f t="shared" si="13"/>
        <v>5900</v>
      </c>
      <c r="H271" s="12">
        <f t="shared" si="13"/>
        <v>0</v>
      </c>
      <c r="I271" s="68"/>
    </row>
    <row r="272" spans="1:9" ht="15.75">
      <c r="A272" s="18" t="s">
        <v>126</v>
      </c>
      <c r="B272" s="15" t="s">
        <v>113</v>
      </c>
      <c r="C272" s="15" t="s">
        <v>40</v>
      </c>
      <c r="D272" s="15" t="s">
        <v>38</v>
      </c>
      <c r="E272" s="15" t="s">
        <v>127</v>
      </c>
      <c r="F272" s="16"/>
      <c r="G272" s="12">
        <f>G273</f>
        <v>5900</v>
      </c>
      <c r="H272" s="12">
        <f>SUM(H273:H273)</f>
        <v>0</v>
      </c>
      <c r="I272" s="68"/>
    </row>
    <row r="273" spans="1:14" s="2" customFormat="1" ht="63">
      <c r="A273" s="18" t="s">
        <v>136</v>
      </c>
      <c r="B273" s="15" t="s">
        <v>113</v>
      </c>
      <c r="C273" s="15" t="s">
        <v>40</v>
      </c>
      <c r="D273" s="15" t="s">
        <v>38</v>
      </c>
      <c r="E273" s="15" t="s">
        <v>127</v>
      </c>
      <c r="F273" s="16" t="s">
        <v>137</v>
      </c>
      <c r="G273" s="22">
        <f>G274+G275+N273</f>
        <v>5900</v>
      </c>
      <c r="H273" s="22">
        <v>0</v>
      </c>
      <c r="I273" s="67"/>
      <c r="N273" s="2">
        <v>-500</v>
      </c>
    </row>
    <row r="274" spans="1:9" s="2" customFormat="1" ht="15.75" hidden="1">
      <c r="A274" s="18" t="s">
        <v>249</v>
      </c>
      <c r="B274" s="15"/>
      <c r="C274" s="15"/>
      <c r="D274" s="15"/>
      <c r="E274" s="15"/>
      <c r="F274" s="16"/>
      <c r="G274" s="22">
        <f>2400+700</f>
        <v>3100</v>
      </c>
      <c r="H274" s="22"/>
      <c r="I274" s="67"/>
    </row>
    <row r="275" spans="1:9" s="2" customFormat="1" ht="15.75" hidden="1">
      <c r="A275" s="18" t="s">
        <v>296</v>
      </c>
      <c r="B275" s="15"/>
      <c r="C275" s="15"/>
      <c r="D275" s="15"/>
      <c r="E275" s="15"/>
      <c r="F275" s="16"/>
      <c r="G275" s="22">
        <v>3300</v>
      </c>
      <c r="H275" s="22"/>
      <c r="I275" s="67"/>
    </row>
    <row r="276" spans="1:9" ht="15.75">
      <c r="A276" s="18"/>
      <c r="B276" s="10"/>
      <c r="C276" s="10"/>
      <c r="D276" s="10"/>
      <c r="E276" s="10"/>
      <c r="F276" s="11"/>
      <c r="G276" s="12"/>
      <c r="H276" s="12"/>
      <c r="I276" s="68"/>
    </row>
    <row r="277" spans="1:17" ht="48" customHeight="1">
      <c r="A277" s="26" t="s">
        <v>218</v>
      </c>
      <c r="B277" s="10" t="s">
        <v>114</v>
      </c>
      <c r="C277" s="10"/>
      <c r="D277" s="10"/>
      <c r="E277" s="10"/>
      <c r="F277" s="11"/>
      <c r="G277" s="12">
        <f>G278+G307+G328+G339+G321+G302</f>
        <v>74922</v>
      </c>
      <c r="H277" s="12">
        <f>H278+H307+H328+H339</f>
        <v>20</v>
      </c>
      <c r="I277" s="68"/>
      <c r="J277" s="1">
        <f>SUM(J278:J342)</f>
        <v>15</v>
      </c>
      <c r="K277" s="1">
        <f>SUM(K278:K342)</f>
        <v>-2880</v>
      </c>
      <c r="N277" s="1">
        <f>SUM(N278:N342)</f>
        <v>-4945</v>
      </c>
      <c r="Q277" s="2">
        <f>SUM(Q278:Q342)</f>
        <v>1856</v>
      </c>
    </row>
    <row r="278" spans="1:9" ht="15.75">
      <c r="A278" s="13" t="s">
        <v>24</v>
      </c>
      <c r="B278" s="10" t="s">
        <v>114</v>
      </c>
      <c r="C278" s="10" t="s">
        <v>37</v>
      </c>
      <c r="D278" s="10"/>
      <c r="E278" s="10"/>
      <c r="F278" s="11"/>
      <c r="G278" s="12">
        <f>G279+G289+G294+G298+G283</f>
        <v>58526</v>
      </c>
      <c r="H278" s="12">
        <f>H279+H289+H294+H298</f>
        <v>20</v>
      </c>
      <c r="I278" s="68"/>
    </row>
    <row r="279" spans="1:9" ht="47.25">
      <c r="A279" s="13" t="s">
        <v>36</v>
      </c>
      <c r="B279" s="10" t="s">
        <v>114</v>
      </c>
      <c r="C279" s="10" t="s">
        <v>37</v>
      </c>
      <c r="D279" s="10" t="s">
        <v>38</v>
      </c>
      <c r="E279" s="10"/>
      <c r="F279" s="11"/>
      <c r="G279" s="12">
        <f>G280</f>
        <v>993</v>
      </c>
      <c r="H279" s="12">
        <f>H280</f>
        <v>0</v>
      </c>
      <c r="I279" s="68"/>
    </row>
    <row r="280" spans="1:9" ht="31.5">
      <c r="A280" s="13" t="s">
        <v>81</v>
      </c>
      <c r="B280" s="10" t="s">
        <v>114</v>
      </c>
      <c r="C280" s="10" t="s">
        <v>37</v>
      </c>
      <c r="D280" s="10" t="s">
        <v>38</v>
      </c>
      <c r="E280" s="10" t="s">
        <v>82</v>
      </c>
      <c r="F280" s="11"/>
      <c r="G280" s="12">
        <f>G281</f>
        <v>993</v>
      </c>
      <c r="H280" s="12">
        <f>H281</f>
        <v>0</v>
      </c>
      <c r="I280" s="68"/>
    </row>
    <row r="281" spans="1:17" ht="31.5">
      <c r="A281" s="14" t="s">
        <v>172</v>
      </c>
      <c r="B281" s="15" t="s">
        <v>114</v>
      </c>
      <c r="C281" s="15" t="s">
        <v>37</v>
      </c>
      <c r="D281" s="15" t="s">
        <v>38</v>
      </c>
      <c r="E281" s="15" t="s">
        <v>82</v>
      </c>
      <c r="F281" s="16" t="s">
        <v>171</v>
      </c>
      <c r="G281" s="12">
        <f>840+N281+S281+Q281</f>
        <v>993</v>
      </c>
      <c r="H281" s="12">
        <v>0</v>
      </c>
      <c r="I281" s="68"/>
      <c r="N281" s="1">
        <v>100</v>
      </c>
      <c r="Q281" s="1">
        <v>53</v>
      </c>
    </row>
    <row r="282" spans="1:9" ht="15.75">
      <c r="A282" s="14"/>
      <c r="B282" s="15"/>
      <c r="C282" s="15"/>
      <c r="D282" s="15"/>
      <c r="E282" s="15"/>
      <c r="F282" s="16"/>
      <c r="G282" s="12"/>
      <c r="H282" s="12"/>
      <c r="I282" s="68"/>
    </row>
    <row r="283" spans="1:9" ht="63" customHeight="1">
      <c r="A283" s="13" t="s">
        <v>39</v>
      </c>
      <c r="B283" s="10" t="s">
        <v>114</v>
      </c>
      <c r="C283" s="10" t="s">
        <v>37</v>
      </c>
      <c r="D283" s="10" t="s">
        <v>40</v>
      </c>
      <c r="E283" s="10"/>
      <c r="F283" s="11"/>
      <c r="G283" s="12">
        <f>G284</f>
        <v>2274</v>
      </c>
      <c r="H283" s="12">
        <f>H284</f>
        <v>0</v>
      </c>
      <c r="I283" s="68"/>
    </row>
    <row r="284" spans="1:9" ht="31.5">
      <c r="A284" s="19" t="s">
        <v>81</v>
      </c>
      <c r="B284" s="10" t="s">
        <v>114</v>
      </c>
      <c r="C284" s="10" t="s">
        <v>37</v>
      </c>
      <c r="D284" s="10" t="s">
        <v>40</v>
      </c>
      <c r="E284" s="10" t="s">
        <v>82</v>
      </c>
      <c r="F284" s="11"/>
      <c r="G284" s="12">
        <f>SUM(G285:G287)</f>
        <v>2274</v>
      </c>
      <c r="H284" s="12">
        <f>SUM(H285:H285)</f>
        <v>0</v>
      </c>
      <c r="I284" s="68"/>
    </row>
    <row r="285" spans="1:17" ht="18" customHeight="1">
      <c r="A285" s="25" t="s">
        <v>22</v>
      </c>
      <c r="B285" s="15" t="s">
        <v>114</v>
      </c>
      <c r="C285" s="15" t="s">
        <v>37</v>
      </c>
      <c r="D285" s="15" t="s">
        <v>40</v>
      </c>
      <c r="E285" s="15" t="s">
        <v>82</v>
      </c>
      <c r="F285" s="16" t="s">
        <v>23</v>
      </c>
      <c r="G285" s="22">
        <f>+L285+N285+S285+Q285</f>
        <v>502</v>
      </c>
      <c r="H285" s="22">
        <v>0</v>
      </c>
      <c r="I285" s="67"/>
      <c r="K285" s="1">
        <f>-1500-900</f>
        <v>-2400</v>
      </c>
      <c r="L285" s="1">
        <v>310</v>
      </c>
      <c r="N285" s="1">
        <v>965</v>
      </c>
      <c r="Q285" s="1">
        <v>-773</v>
      </c>
    </row>
    <row r="286" spans="1:17" ht="48" customHeight="1">
      <c r="A286" s="19" t="s">
        <v>173</v>
      </c>
      <c r="B286" s="10" t="s">
        <v>105</v>
      </c>
      <c r="C286" s="10" t="s">
        <v>37</v>
      </c>
      <c r="D286" s="10" t="s">
        <v>40</v>
      </c>
      <c r="E286" s="10" t="s">
        <v>82</v>
      </c>
      <c r="F286" s="11" t="s">
        <v>174</v>
      </c>
      <c r="G286" s="22">
        <f>+N286+S286+Q286</f>
        <v>0</v>
      </c>
      <c r="H286" s="22"/>
      <c r="I286" s="67"/>
      <c r="N286" s="1">
        <v>184</v>
      </c>
      <c r="Q286" s="1">
        <v>-184</v>
      </c>
    </row>
    <row r="287" spans="1:17" ht="47.25">
      <c r="A287" s="19" t="s">
        <v>175</v>
      </c>
      <c r="B287" s="10" t="s">
        <v>114</v>
      </c>
      <c r="C287" s="10" t="s">
        <v>37</v>
      </c>
      <c r="D287" s="10" t="s">
        <v>40</v>
      </c>
      <c r="E287" s="10" t="s">
        <v>82</v>
      </c>
      <c r="F287" s="11" t="s">
        <v>176</v>
      </c>
      <c r="G287" s="12">
        <f>+L287+N287+S287+Q287</f>
        <v>1772</v>
      </c>
      <c r="H287" s="12">
        <v>0</v>
      </c>
      <c r="I287" s="68"/>
      <c r="L287" s="1">
        <v>764</v>
      </c>
      <c r="N287" s="1">
        <v>1241</v>
      </c>
      <c r="Q287" s="1">
        <v>-233</v>
      </c>
    </row>
    <row r="288" spans="1:9" ht="15.75">
      <c r="A288" s="18"/>
      <c r="B288" s="10"/>
      <c r="C288" s="10"/>
      <c r="D288" s="10"/>
      <c r="E288" s="10"/>
      <c r="F288" s="11"/>
      <c r="G288" s="12"/>
      <c r="H288" s="12"/>
      <c r="I288" s="68"/>
    </row>
    <row r="289" spans="1:9" ht="63">
      <c r="A289" s="13" t="s">
        <v>16</v>
      </c>
      <c r="B289" s="10" t="s">
        <v>114</v>
      </c>
      <c r="C289" s="10" t="s">
        <v>37</v>
      </c>
      <c r="D289" s="10" t="s">
        <v>57</v>
      </c>
      <c r="E289" s="10"/>
      <c r="F289" s="11"/>
      <c r="G289" s="12">
        <f>G290</f>
        <v>54929</v>
      </c>
      <c r="H289" s="12">
        <f>H290</f>
        <v>20</v>
      </c>
      <c r="I289" s="68"/>
    </row>
    <row r="290" spans="1:9" ht="31.5">
      <c r="A290" s="13" t="s">
        <v>81</v>
      </c>
      <c r="B290" s="10" t="s">
        <v>114</v>
      </c>
      <c r="C290" s="10" t="s">
        <v>37</v>
      </c>
      <c r="D290" s="10" t="s">
        <v>57</v>
      </c>
      <c r="E290" s="10" t="s">
        <v>82</v>
      </c>
      <c r="F290" s="11"/>
      <c r="G290" s="12">
        <f>SUM(G291:G292)</f>
        <v>54929</v>
      </c>
      <c r="H290" s="12">
        <f>SUM(H291:H291)</f>
        <v>20</v>
      </c>
      <c r="I290" s="68"/>
    </row>
    <row r="291" spans="1:17" ht="15.75">
      <c r="A291" s="21" t="s">
        <v>22</v>
      </c>
      <c r="B291" s="15" t="s">
        <v>114</v>
      </c>
      <c r="C291" s="15" t="s">
        <v>37</v>
      </c>
      <c r="D291" s="15" t="s">
        <v>57</v>
      </c>
      <c r="E291" s="15" t="s">
        <v>82</v>
      </c>
      <c r="F291" s="16" t="s">
        <v>23</v>
      </c>
      <c r="G291" s="12">
        <f>52536+700+240+K291+N291+Q291+S291</f>
        <v>53929</v>
      </c>
      <c r="H291" s="12">
        <f>240-220</f>
        <v>20</v>
      </c>
      <c r="I291" s="68"/>
      <c r="K291" s="1">
        <f>-380-2000</f>
        <v>-2380</v>
      </c>
      <c r="N291" s="1">
        <f>-100-200+106</f>
        <v>-194</v>
      </c>
      <c r="Q291" s="1">
        <v>3027</v>
      </c>
    </row>
    <row r="292" spans="1:9" ht="15.75">
      <c r="A292" s="21" t="s">
        <v>297</v>
      </c>
      <c r="B292" s="15" t="s">
        <v>114</v>
      </c>
      <c r="C292" s="15" t="s">
        <v>37</v>
      </c>
      <c r="D292" s="15" t="s">
        <v>57</v>
      </c>
      <c r="E292" s="15" t="s">
        <v>82</v>
      </c>
      <c r="F292" s="16" t="s">
        <v>298</v>
      </c>
      <c r="G292" s="12">
        <v>1000</v>
      </c>
      <c r="H292" s="12">
        <v>0</v>
      </c>
      <c r="I292" s="68"/>
    </row>
    <row r="293" spans="1:9" ht="15.75">
      <c r="A293" s="19"/>
      <c r="B293" s="10"/>
      <c r="C293" s="10"/>
      <c r="D293" s="10"/>
      <c r="E293" s="10"/>
      <c r="F293" s="11"/>
      <c r="G293" s="12"/>
      <c r="H293" s="12"/>
      <c r="I293" s="68"/>
    </row>
    <row r="294" spans="1:9" ht="31.5">
      <c r="A294" s="19" t="s">
        <v>42</v>
      </c>
      <c r="B294" s="10" t="s">
        <v>114</v>
      </c>
      <c r="C294" s="10" t="s">
        <v>37</v>
      </c>
      <c r="D294" s="10" t="s">
        <v>43</v>
      </c>
      <c r="E294" s="10"/>
      <c r="F294" s="11"/>
      <c r="G294" s="12">
        <f>G295</f>
        <v>30</v>
      </c>
      <c r="H294" s="12">
        <f>H295</f>
        <v>0</v>
      </c>
      <c r="I294" s="68"/>
    </row>
    <row r="295" spans="1:9" ht="15.75" customHeight="1">
      <c r="A295" s="19" t="s">
        <v>74</v>
      </c>
      <c r="B295" s="10" t="s">
        <v>114</v>
      </c>
      <c r="C295" s="10" t="s">
        <v>37</v>
      </c>
      <c r="D295" s="10" t="s">
        <v>43</v>
      </c>
      <c r="E295" s="10" t="s">
        <v>75</v>
      </c>
      <c r="F295" s="11"/>
      <c r="G295" s="12">
        <f>G296</f>
        <v>30</v>
      </c>
      <c r="H295" s="12">
        <f>H296</f>
        <v>0</v>
      </c>
      <c r="I295" s="68"/>
    </row>
    <row r="296" spans="1:9" ht="47.25">
      <c r="A296" s="19" t="s">
        <v>224</v>
      </c>
      <c r="B296" s="10" t="s">
        <v>114</v>
      </c>
      <c r="C296" s="10" t="s">
        <v>37</v>
      </c>
      <c r="D296" s="10" t="s">
        <v>43</v>
      </c>
      <c r="E296" s="10" t="s">
        <v>75</v>
      </c>
      <c r="F296" s="11" t="s">
        <v>225</v>
      </c>
      <c r="G296" s="12">
        <v>30</v>
      </c>
      <c r="H296" s="12">
        <v>0</v>
      </c>
      <c r="I296" s="68"/>
    </row>
    <row r="297" spans="1:9" ht="15.75">
      <c r="A297" s="19"/>
      <c r="B297" s="10"/>
      <c r="C297" s="10"/>
      <c r="D297" s="10"/>
      <c r="E297" s="10"/>
      <c r="F297" s="11"/>
      <c r="G297" s="12"/>
      <c r="H297" s="12"/>
      <c r="I297" s="68"/>
    </row>
    <row r="298" spans="1:9" ht="31.5">
      <c r="A298" s="13" t="s">
        <v>48</v>
      </c>
      <c r="B298" s="15" t="s">
        <v>114</v>
      </c>
      <c r="C298" s="15" t="s">
        <v>37</v>
      </c>
      <c r="D298" s="15" t="s">
        <v>49</v>
      </c>
      <c r="E298" s="15"/>
      <c r="F298" s="16"/>
      <c r="G298" s="12">
        <f>G299</f>
        <v>300</v>
      </c>
      <c r="H298" s="12">
        <f>H299</f>
        <v>0</v>
      </c>
      <c r="I298" s="68"/>
    </row>
    <row r="299" spans="1:9" ht="47.25">
      <c r="A299" s="14" t="s">
        <v>177</v>
      </c>
      <c r="B299" s="10" t="s">
        <v>114</v>
      </c>
      <c r="C299" s="10" t="s">
        <v>37</v>
      </c>
      <c r="D299" s="10" t="s">
        <v>49</v>
      </c>
      <c r="E299" s="10" t="s">
        <v>29</v>
      </c>
      <c r="F299" s="11"/>
      <c r="G299" s="12">
        <f>G300</f>
        <v>300</v>
      </c>
      <c r="H299" s="12">
        <f>H300</f>
        <v>0</v>
      </c>
      <c r="I299" s="68"/>
    </row>
    <row r="300" spans="1:9" ht="31.5">
      <c r="A300" s="14" t="s">
        <v>155</v>
      </c>
      <c r="B300" s="10" t="s">
        <v>114</v>
      </c>
      <c r="C300" s="10" t="s">
        <v>37</v>
      </c>
      <c r="D300" s="10" t="s">
        <v>49</v>
      </c>
      <c r="E300" s="10" t="s">
        <v>29</v>
      </c>
      <c r="F300" s="34" t="s">
        <v>154</v>
      </c>
      <c r="G300" s="12">
        <v>300</v>
      </c>
      <c r="H300" s="12">
        <v>0</v>
      </c>
      <c r="I300" s="68"/>
    </row>
    <row r="301" spans="1:9" ht="15.75">
      <c r="A301" s="14"/>
      <c r="B301" s="10"/>
      <c r="C301" s="10"/>
      <c r="D301" s="10"/>
      <c r="E301" s="10"/>
      <c r="F301" s="34"/>
      <c r="G301" s="12"/>
      <c r="H301" s="12"/>
      <c r="I301" s="68"/>
    </row>
    <row r="302" spans="1:9" ht="31.5">
      <c r="A302" s="18" t="s">
        <v>21</v>
      </c>
      <c r="B302" s="10" t="s">
        <v>114</v>
      </c>
      <c r="C302" s="10" t="s">
        <v>40</v>
      </c>
      <c r="D302" s="10"/>
      <c r="E302" s="10"/>
      <c r="F302" s="11"/>
      <c r="G302" s="12">
        <f aca="true" t="shared" si="14" ref="G302:H304">G303</f>
        <v>190</v>
      </c>
      <c r="H302" s="12">
        <f t="shared" si="14"/>
        <v>0</v>
      </c>
      <c r="I302" s="68"/>
    </row>
    <row r="303" spans="1:9" ht="31.5">
      <c r="A303" s="18" t="s">
        <v>54</v>
      </c>
      <c r="B303" s="10" t="s">
        <v>114</v>
      </c>
      <c r="C303" s="10" t="s">
        <v>40</v>
      </c>
      <c r="D303" s="10" t="s">
        <v>55</v>
      </c>
      <c r="E303" s="10"/>
      <c r="F303" s="11"/>
      <c r="G303" s="12">
        <f t="shared" si="14"/>
        <v>190</v>
      </c>
      <c r="H303" s="12">
        <f t="shared" si="14"/>
        <v>0</v>
      </c>
      <c r="I303" s="68"/>
    </row>
    <row r="304" spans="1:9" ht="15.75">
      <c r="A304" s="18" t="s">
        <v>126</v>
      </c>
      <c r="B304" s="10" t="s">
        <v>114</v>
      </c>
      <c r="C304" s="10" t="s">
        <v>40</v>
      </c>
      <c r="D304" s="10" t="s">
        <v>55</v>
      </c>
      <c r="E304" s="10" t="s">
        <v>127</v>
      </c>
      <c r="F304" s="11"/>
      <c r="G304" s="12">
        <f t="shared" si="14"/>
        <v>190</v>
      </c>
      <c r="H304" s="12">
        <f t="shared" si="14"/>
        <v>0</v>
      </c>
      <c r="I304" s="68"/>
    </row>
    <row r="305" spans="1:14" ht="63">
      <c r="A305" s="18" t="s">
        <v>136</v>
      </c>
      <c r="B305" s="10" t="s">
        <v>114</v>
      </c>
      <c r="C305" s="15" t="s">
        <v>40</v>
      </c>
      <c r="D305" s="15" t="s">
        <v>55</v>
      </c>
      <c r="E305" s="15" t="s">
        <v>127</v>
      </c>
      <c r="F305" s="16" t="s">
        <v>137</v>
      </c>
      <c r="G305" s="12">
        <f>+N305</f>
        <v>190</v>
      </c>
      <c r="H305" s="12">
        <v>0</v>
      </c>
      <c r="I305" s="68"/>
      <c r="N305" s="1">
        <v>190</v>
      </c>
    </row>
    <row r="306" spans="1:9" ht="15.75">
      <c r="A306" s="14"/>
      <c r="B306" s="10"/>
      <c r="C306" s="10"/>
      <c r="D306" s="10"/>
      <c r="E306" s="10"/>
      <c r="F306" s="34"/>
      <c r="G306" s="12"/>
      <c r="H306" s="12"/>
      <c r="I306" s="68"/>
    </row>
    <row r="307" spans="1:9" ht="15.75">
      <c r="A307" s="13" t="s">
        <v>25</v>
      </c>
      <c r="B307" s="10" t="s">
        <v>114</v>
      </c>
      <c r="C307" s="10" t="s">
        <v>57</v>
      </c>
      <c r="D307" s="10"/>
      <c r="E307" s="10"/>
      <c r="F307" s="11"/>
      <c r="G307" s="12">
        <f>G308</f>
        <v>10261</v>
      </c>
      <c r="H307" s="12">
        <f>H308</f>
        <v>0</v>
      </c>
      <c r="I307" s="68"/>
    </row>
    <row r="308" spans="1:9" ht="31.5">
      <c r="A308" s="13" t="s">
        <v>62</v>
      </c>
      <c r="B308" s="10" t="s">
        <v>114</v>
      </c>
      <c r="C308" s="10" t="s">
        <v>57</v>
      </c>
      <c r="D308" s="10" t="s">
        <v>63</v>
      </c>
      <c r="E308" s="10"/>
      <c r="F308" s="11"/>
      <c r="G308" s="12">
        <f>G311+G316+G318+G309+G314</f>
        <v>10261</v>
      </c>
      <c r="H308" s="12">
        <f>H311+H316+H318+H309+H314</f>
        <v>0</v>
      </c>
      <c r="I308" s="68"/>
    </row>
    <row r="309" spans="1:9" ht="31.5">
      <c r="A309" s="21" t="s">
        <v>295</v>
      </c>
      <c r="B309" s="10" t="s">
        <v>114</v>
      </c>
      <c r="C309" s="10" t="s">
        <v>57</v>
      </c>
      <c r="D309" s="10" t="s">
        <v>63</v>
      </c>
      <c r="E309" s="10" t="s">
        <v>270</v>
      </c>
      <c r="F309" s="11"/>
      <c r="G309" s="12">
        <f>G310</f>
        <v>4000</v>
      </c>
      <c r="H309" s="12">
        <f>H310</f>
        <v>0</v>
      </c>
      <c r="I309" s="68"/>
    </row>
    <row r="310" spans="1:12" ht="31.5">
      <c r="A310" s="13" t="s">
        <v>138</v>
      </c>
      <c r="B310" s="10" t="s">
        <v>114</v>
      </c>
      <c r="C310" s="10" t="s">
        <v>57</v>
      </c>
      <c r="D310" s="10" t="s">
        <v>63</v>
      </c>
      <c r="E310" s="10" t="s">
        <v>270</v>
      </c>
      <c r="F310" s="11" t="s">
        <v>139</v>
      </c>
      <c r="G310" s="12">
        <f>+L310</f>
        <v>4000</v>
      </c>
      <c r="H310" s="12">
        <v>0</v>
      </c>
      <c r="I310" s="68"/>
      <c r="L310" s="1">
        <v>4000</v>
      </c>
    </row>
    <row r="311" spans="1:9" ht="47.25">
      <c r="A311" s="13" t="s">
        <v>142</v>
      </c>
      <c r="B311" s="10" t="s">
        <v>114</v>
      </c>
      <c r="C311" s="10" t="s">
        <v>57</v>
      </c>
      <c r="D311" s="10" t="s">
        <v>63</v>
      </c>
      <c r="E311" s="10" t="s">
        <v>141</v>
      </c>
      <c r="F311" s="11"/>
      <c r="G311" s="12">
        <f>G313+G312</f>
        <v>4400</v>
      </c>
      <c r="H311" s="12">
        <f>H313+H312</f>
        <v>0</v>
      </c>
      <c r="I311" s="68"/>
    </row>
    <row r="312" spans="1:14" ht="31.5">
      <c r="A312" s="13" t="s">
        <v>138</v>
      </c>
      <c r="B312" s="10" t="s">
        <v>114</v>
      </c>
      <c r="C312" s="10" t="s">
        <v>57</v>
      </c>
      <c r="D312" s="10" t="s">
        <v>63</v>
      </c>
      <c r="E312" s="10" t="s">
        <v>141</v>
      </c>
      <c r="F312" s="11" t="s">
        <v>139</v>
      </c>
      <c r="G312" s="12">
        <f>10000+N312</f>
        <v>3400</v>
      </c>
      <c r="H312" s="12">
        <v>0</v>
      </c>
      <c r="I312" s="68"/>
      <c r="N312" s="1">
        <f>-5000-1600</f>
        <v>-6600</v>
      </c>
    </row>
    <row r="313" spans="1:9" ht="31.5">
      <c r="A313" s="13" t="s">
        <v>140</v>
      </c>
      <c r="B313" s="10" t="s">
        <v>114</v>
      </c>
      <c r="C313" s="10" t="s">
        <v>57</v>
      </c>
      <c r="D313" s="10" t="s">
        <v>63</v>
      </c>
      <c r="E313" s="10" t="s">
        <v>141</v>
      </c>
      <c r="F313" s="11" t="s">
        <v>143</v>
      </c>
      <c r="G313" s="12">
        <v>1000</v>
      </c>
      <c r="H313" s="12">
        <v>0</v>
      </c>
      <c r="I313" s="68"/>
    </row>
    <row r="314" spans="1:9" ht="15.75">
      <c r="A314" s="13" t="s">
        <v>222</v>
      </c>
      <c r="B314" s="10" t="s">
        <v>114</v>
      </c>
      <c r="C314" s="10" t="s">
        <v>57</v>
      </c>
      <c r="D314" s="10" t="s">
        <v>63</v>
      </c>
      <c r="E314" s="10" t="s">
        <v>221</v>
      </c>
      <c r="F314" s="11"/>
      <c r="G314" s="12">
        <f>G315</f>
        <v>275</v>
      </c>
      <c r="H314" s="12">
        <f>H315</f>
        <v>0</v>
      </c>
      <c r="I314" s="68"/>
    </row>
    <row r="315" spans="1:14" ht="31.5">
      <c r="A315" s="13" t="s">
        <v>13</v>
      </c>
      <c r="B315" s="10" t="s">
        <v>114</v>
      </c>
      <c r="C315" s="10" t="s">
        <v>57</v>
      </c>
      <c r="D315" s="10" t="s">
        <v>63</v>
      </c>
      <c r="E315" s="10" t="s">
        <v>221</v>
      </c>
      <c r="F315" s="11" t="s">
        <v>14</v>
      </c>
      <c r="G315" s="12">
        <f>+N315</f>
        <v>275</v>
      </c>
      <c r="H315" s="12">
        <f>H316</f>
        <v>0</v>
      </c>
      <c r="I315" s="68"/>
      <c r="N315" s="1">
        <v>275</v>
      </c>
    </row>
    <row r="316" spans="1:9" ht="33" customHeight="1">
      <c r="A316" s="13" t="s">
        <v>8</v>
      </c>
      <c r="B316" s="10" t="s">
        <v>114</v>
      </c>
      <c r="C316" s="10" t="s">
        <v>57</v>
      </c>
      <c r="D316" s="10" t="s">
        <v>63</v>
      </c>
      <c r="E316" s="10" t="s">
        <v>9</v>
      </c>
      <c r="F316" s="11"/>
      <c r="G316" s="64">
        <f>G317</f>
        <v>86</v>
      </c>
      <c r="H316" s="12">
        <f>H317</f>
        <v>0</v>
      </c>
      <c r="I316" s="68"/>
    </row>
    <row r="317" spans="1:9" ht="31.5">
      <c r="A317" s="13" t="s">
        <v>13</v>
      </c>
      <c r="B317" s="10" t="s">
        <v>114</v>
      </c>
      <c r="C317" s="10" t="s">
        <v>57</v>
      </c>
      <c r="D317" s="10" t="s">
        <v>63</v>
      </c>
      <c r="E317" s="10" t="s">
        <v>9</v>
      </c>
      <c r="F317" s="11" t="s">
        <v>14</v>
      </c>
      <c r="G317" s="64">
        <v>86</v>
      </c>
      <c r="H317" s="12">
        <v>0</v>
      </c>
      <c r="I317" s="68"/>
    </row>
    <row r="318" spans="1:9" ht="31.5">
      <c r="A318" s="13" t="s">
        <v>182</v>
      </c>
      <c r="B318" s="10" t="s">
        <v>114</v>
      </c>
      <c r="C318" s="10" t="s">
        <v>57</v>
      </c>
      <c r="D318" s="10" t="s">
        <v>63</v>
      </c>
      <c r="E318" s="10" t="s">
        <v>183</v>
      </c>
      <c r="F318" s="11"/>
      <c r="G318" s="12">
        <f>G319</f>
        <v>1500</v>
      </c>
      <c r="H318" s="12">
        <f>H319</f>
        <v>0</v>
      </c>
      <c r="I318" s="68"/>
    </row>
    <row r="319" spans="1:9" ht="31.5">
      <c r="A319" s="13" t="s">
        <v>180</v>
      </c>
      <c r="B319" s="10" t="s">
        <v>114</v>
      </c>
      <c r="C319" s="10" t="s">
        <v>57</v>
      </c>
      <c r="D319" s="10" t="s">
        <v>63</v>
      </c>
      <c r="E319" s="10" t="s">
        <v>183</v>
      </c>
      <c r="F319" s="11" t="s">
        <v>181</v>
      </c>
      <c r="G319" s="12">
        <v>1500</v>
      </c>
      <c r="H319" s="12">
        <v>0</v>
      </c>
      <c r="I319" s="68"/>
    </row>
    <row r="320" spans="1:9" ht="15.75">
      <c r="A320" s="13"/>
      <c r="B320" s="10"/>
      <c r="C320" s="10"/>
      <c r="D320" s="10"/>
      <c r="E320" s="10"/>
      <c r="F320" s="11"/>
      <c r="G320" s="12"/>
      <c r="H320" s="12"/>
      <c r="I320" s="68"/>
    </row>
    <row r="321" spans="1:9" ht="15.75">
      <c r="A321" s="13" t="s">
        <v>20</v>
      </c>
      <c r="B321" s="10" t="s">
        <v>114</v>
      </c>
      <c r="C321" s="10" t="s">
        <v>41</v>
      </c>
      <c r="D321" s="10"/>
      <c r="E321" s="15"/>
      <c r="F321" s="16"/>
      <c r="G321" s="12">
        <f>G324+G322</f>
        <v>2000</v>
      </c>
      <c r="H321" s="12">
        <f>H324+H322</f>
        <v>0</v>
      </c>
      <c r="I321" s="68"/>
    </row>
    <row r="322" spans="1:9" ht="31.5">
      <c r="A322" s="21" t="s">
        <v>295</v>
      </c>
      <c r="B322" s="10" t="s">
        <v>114</v>
      </c>
      <c r="C322" s="10" t="s">
        <v>41</v>
      </c>
      <c r="D322" s="10" t="s">
        <v>38</v>
      </c>
      <c r="E322" s="15" t="s">
        <v>270</v>
      </c>
      <c r="F322" s="16"/>
      <c r="G322" s="12">
        <f>G323</f>
        <v>1931</v>
      </c>
      <c r="H322" s="12">
        <f>H323</f>
        <v>0</v>
      </c>
      <c r="I322" s="68"/>
    </row>
    <row r="323" spans="1:17" ht="63">
      <c r="A323" s="21" t="s">
        <v>274</v>
      </c>
      <c r="B323" s="10" t="s">
        <v>114</v>
      </c>
      <c r="C323" s="10" t="s">
        <v>41</v>
      </c>
      <c r="D323" s="10" t="s">
        <v>38</v>
      </c>
      <c r="E323" s="15" t="s">
        <v>270</v>
      </c>
      <c r="F323" s="16" t="s">
        <v>206</v>
      </c>
      <c r="G323" s="12">
        <f>+K323+Q323</f>
        <v>1931</v>
      </c>
      <c r="H323" s="12">
        <v>0</v>
      </c>
      <c r="I323" s="68"/>
      <c r="K323" s="1">
        <f>1000+1000</f>
        <v>2000</v>
      </c>
      <c r="Q323" s="1">
        <v>-69</v>
      </c>
    </row>
    <row r="324" spans="1:9" ht="31.5" customHeight="1">
      <c r="A324" s="21" t="s">
        <v>17</v>
      </c>
      <c r="B324" s="10" t="s">
        <v>114</v>
      </c>
      <c r="C324" s="10" t="s">
        <v>41</v>
      </c>
      <c r="D324" s="10" t="s">
        <v>57</v>
      </c>
      <c r="E324" s="15"/>
      <c r="F324" s="16"/>
      <c r="G324" s="12">
        <f>G325</f>
        <v>69</v>
      </c>
      <c r="H324" s="12">
        <f>H325</f>
        <v>0</v>
      </c>
      <c r="I324" s="68"/>
    </row>
    <row r="325" spans="1:9" ht="31.5" customHeight="1">
      <c r="A325" s="21" t="s">
        <v>295</v>
      </c>
      <c r="B325" s="10" t="s">
        <v>114</v>
      </c>
      <c r="C325" s="10" t="s">
        <v>41</v>
      </c>
      <c r="D325" s="10" t="s">
        <v>57</v>
      </c>
      <c r="E325" s="15" t="s">
        <v>270</v>
      </c>
      <c r="F325" s="16"/>
      <c r="G325" s="12">
        <f>G326</f>
        <v>69</v>
      </c>
      <c r="H325" s="12">
        <f>H326</f>
        <v>0</v>
      </c>
      <c r="I325" s="68"/>
    </row>
    <row r="326" spans="1:17" ht="31.5" customHeight="1">
      <c r="A326" s="21" t="s">
        <v>138</v>
      </c>
      <c r="B326" s="10" t="s">
        <v>114</v>
      </c>
      <c r="C326" s="10" t="s">
        <v>41</v>
      </c>
      <c r="D326" s="10" t="s">
        <v>57</v>
      </c>
      <c r="E326" s="15" t="s">
        <v>270</v>
      </c>
      <c r="F326" s="16" t="s">
        <v>139</v>
      </c>
      <c r="G326" s="12">
        <f>1000+N326+Q326</f>
        <v>69</v>
      </c>
      <c r="H326" s="12">
        <v>0</v>
      </c>
      <c r="I326" s="68"/>
      <c r="N326" s="1">
        <v>-1000</v>
      </c>
      <c r="Q326" s="1">
        <v>69</v>
      </c>
    </row>
    <row r="327" spans="1:9" ht="15.75">
      <c r="A327" s="13"/>
      <c r="B327" s="10"/>
      <c r="C327" s="10"/>
      <c r="D327" s="10"/>
      <c r="E327" s="10"/>
      <c r="F327" s="11"/>
      <c r="G327" s="12"/>
      <c r="H327" s="12"/>
      <c r="I327" s="68"/>
    </row>
    <row r="328" spans="1:9" ht="31.5">
      <c r="A328" s="13" t="s">
        <v>223</v>
      </c>
      <c r="B328" s="10" t="s">
        <v>114</v>
      </c>
      <c r="C328" s="10" t="s">
        <v>61</v>
      </c>
      <c r="D328" s="10"/>
      <c r="E328" s="10"/>
      <c r="F328" s="11"/>
      <c r="G328" s="12">
        <f>G329+G333</f>
        <v>3110</v>
      </c>
      <c r="H328" s="12">
        <f>H329+H333</f>
        <v>0</v>
      </c>
      <c r="I328" s="68"/>
    </row>
    <row r="329" spans="1:9" ht="15.75">
      <c r="A329" s="13" t="s">
        <v>226</v>
      </c>
      <c r="B329" s="10" t="s">
        <v>114</v>
      </c>
      <c r="C329" s="10" t="s">
        <v>61</v>
      </c>
      <c r="D329" s="10" t="s">
        <v>40</v>
      </c>
      <c r="E329" s="10"/>
      <c r="F329" s="11"/>
      <c r="G329" s="12">
        <f>G330</f>
        <v>2300</v>
      </c>
      <c r="H329" s="12">
        <f>H330</f>
        <v>0</v>
      </c>
      <c r="I329" s="68"/>
    </row>
    <row r="330" spans="1:9" ht="15.75">
      <c r="A330" s="13" t="s">
        <v>227</v>
      </c>
      <c r="B330" s="10" t="s">
        <v>114</v>
      </c>
      <c r="C330" s="10" t="s">
        <v>61</v>
      </c>
      <c r="D330" s="10" t="s">
        <v>40</v>
      </c>
      <c r="E330" s="10" t="s">
        <v>228</v>
      </c>
      <c r="F330" s="11"/>
      <c r="G330" s="12">
        <f>G331</f>
        <v>2300</v>
      </c>
      <c r="H330" s="12">
        <f>H331</f>
        <v>0</v>
      </c>
      <c r="I330" s="68"/>
    </row>
    <row r="331" spans="1:14" ht="15.75">
      <c r="A331" s="13" t="s">
        <v>120</v>
      </c>
      <c r="B331" s="10" t="s">
        <v>114</v>
      </c>
      <c r="C331" s="10" t="s">
        <v>61</v>
      </c>
      <c r="D331" s="10" t="s">
        <v>40</v>
      </c>
      <c r="E331" s="10" t="s">
        <v>228</v>
      </c>
      <c r="F331" s="11" t="s">
        <v>101</v>
      </c>
      <c r="G331" s="12">
        <f>2300+K331+N331</f>
        <v>2300</v>
      </c>
      <c r="H331" s="12">
        <v>0</v>
      </c>
      <c r="I331" s="68"/>
      <c r="K331" s="1">
        <v>-100</v>
      </c>
      <c r="N331" s="1">
        <v>100</v>
      </c>
    </row>
    <row r="332" spans="1:9" ht="15.75">
      <c r="A332" s="13"/>
      <c r="B332" s="10"/>
      <c r="C332" s="10"/>
      <c r="D332" s="10"/>
      <c r="E332" s="10"/>
      <c r="F332" s="11"/>
      <c r="G332" s="12"/>
      <c r="H332" s="12"/>
      <c r="I332" s="68"/>
    </row>
    <row r="333" spans="1:9" ht="15.75" customHeight="1">
      <c r="A333" s="13" t="s">
        <v>69</v>
      </c>
      <c r="B333" s="10" t="s">
        <v>114</v>
      </c>
      <c r="C333" s="10" t="s">
        <v>61</v>
      </c>
      <c r="D333" s="10" t="s">
        <v>57</v>
      </c>
      <c r="E333" s="10"/>
      <c r="F333" s="11"/>
      <c r="G333" s="12">
        <f>G334+G336</f>
        <v>810</v>
      </c>
      <c r="H333" s="12">
        <f>H334+H336</f>
        <v>0</v>
      </c>
      <c r="I333" s="68"/>
    </row>
    <row r="334" spans="1:9" ht="15.75">
      <c r="A334" s="13" t="s">
        <v>229</v>
      </c>
      <c r="B334" s="10" t="s">
        <v>114</v>
      </c>
      <c r="C334" s="10" t="s">
        <v>61</v>
      </c>
      <c r="D334" s="10" t="s">
        <v>57</v>
      </c>
      <c r="E334" s="10" t="s">
        <v>230</v>
      </c>
      <c r="F334" s="11"/>
      <c r="G334" s="12">
        <f>G335</f>
        <v>300</v>
      </c>
      <c r="H334" s="12">
        <f>H335</f>
        <v>0</v>
      </c>
      <c r="I334" s="68"/>
    </row>
    <row r="335" spans="1:14" ht="15.75">
      <c r="A335" s="13" t="s">
        <v>120</v>
      </c>
      <c r="B335" s="10" t="s">
        <v>114</v>
      </c>
      <c r="C335" s="10" t="s">
        <v>61</v>
      </c>
      <c r="D335" s="10" t="s">
        <v>57</v>
      </c>
      <c r="E335" s="10" t="s">
        <v>230</v>
      </c>
      <c r="F335" s="11" t="s">
        <v>101</v>
      </c>
      <c r="G335" s="12">
        <f>400+N335</f>
        <v>300</v>
      </c>
      <c r="H335" s="12">
        <v>0</v>
      </c>
      <c r="I335" s="68"/>
      <c r="N335" s="1">
        <v>-100</v>
      </c>
    </row>
    <row r="336" spans="1:9" ht="47.25">
      <c r="A336" s="13" t="s">
        <v>305</v>
      </c>
      <c r="B336" s="10" t="s">
        <v>114</v>
      </c>
      <c r="C336" s="10" t="s">
        <v>61</v>
      </c>
      <c r="D336" s="10" t="s">
        <v>57</v>
      </c>
      <c r="E336" s="10" t="s">
        <v>7</v>
      </c>
      <c r="F336" s="11"/>
      <c r="G336" s="12">
        <f>G337</f>
        <v>510</v>
      </c>
      <c r="H336" s="12">
        <f>H337</f>
        <v>0</v>
      </c>
      <c r="I336" s="68"/>
    </row>
    <row r="337" spans="1:17" ht="15.75">
      <c r="A337" s="13" t="s">
        <v>120</v>
      </c>
      <c r="B337" s="10" t="s">
        <v>114</v>
      </c>
      <c r="C337" s="10" t="s">
        <v>61</v>
      </c>
      <c r="D337" s="10" t="s">
        <v>57</v>
      </c>
      <c r="E337" s="10" t="s">
        <v>7</v>
      </c>
      <c r="F337" s="11" t="s">
        <v>101</v>
      </c>
      <c r="G337" s="12">
        <f>650+N337+Q337</f>
        <v>510</v>
      </c>
      <c r="H337" s="12">
        <v>0</v>
      </c>
      <c r="I337" s="68"/>
      <c r="N337" s="1">
        <v>-106</v>
      </c>
      <c r="Q337" s="1">
        <v>-34</v>
      </c>
    </row>
    <row r="338" spans="1:9" ht="15.75">
      <c r="A338" s="13"/>
      <c r="B338" s="10"/>
      <c r="C338" s="10"/>
      <c r="D338" s="10"/>
      <c r="E338" s="10"/>
      <c r="F338" s="11"/>
      <c r="G338" s="12"/>
      <c r="H338" s="12"/>
      <c r="I338" s="68"/>
    </row>
    <row r="339" spans="1:9" ht="15.75">
      <c r="A339" s="17" t="s">
        <v>26</v>
      </c>
      <c r="B339" s="10" t="s">
        <v>114</v>
      </c>
      <c r="C339" s="10" t="s">
        <v>53</v>
      </c>
      <c r="D339" s="10"/>
      <c r="E339" s="10"/>
      <c r="F339" s="11"/>
      <c r="G339" s="12">
        <f aca="true" t="shared" si="15" ref="G339:H341">G340</f>
        <v>835</v>
      </c>
      <c r="H339" s="12">
        <f t="shared" si="15"/>
        <v>0</v>
      </c>
      <c r="I339" s="68"/>
    </row>
    <row r="340" spans="1:9" ht="15.75">
      <c r="A340" s="13" t="s">
        <v>72</v>
      </c>
      <c r="B340" s="10" t="s">
        <v>114</v>
      </c>
      <c r="C340" s="10" t="s">
        <v>53</v>
      </c>
      <c r="D340" s="10" t="s">
        <v>38</v>
      </c>
      <c r="E340" s="10"/>
      <c r="F340" s="11"/>
      <c r="G340" s="12">
        <f t="shared" si="15"/>
        <v>835</v>
      </c>
      <c r="H340" s="12">
        <f t="shared" si="15"/>
        <v>0</v>
      </c>
      <c r="I340" s="68"/>
    </row>
    <row r="341" spans="1:9" ht="31.5">
      <c r="A341" s="14" t="s">
        <v>95</v>
      </c>
      <c r="B341" s="10" t="s">
        <v>114</v>
      </c>
      <c r="C341" s="10" t="s">
        <v>53</v>
      </c>
      <c r="D341" s="10" t="s">
        <v>38</v>
      </c>
      <c r="E341" s="10" t="s">
        <v>96</v>
      </c>
      <c r="F341" s="11"/>
      <c r="G341" s="12">
        <f t="shared" si="15"/>
        <v>835</v>
      </c>
      <c r="H341" s="12">
        <f t="shared" si="15"/>
        <v>0</v>
      </c>
      <c r="I341" s="68"/>
    </row>
    <row r="342" spans="1:16" ht="47.25">
      <c r="A342" s="13" t="s">
        <v>94</v>
      </c>
      <c r="B342" s="10" t="s">
        <v>114</v>
      </c>
      <c r="C342" s="10" t="s">
        <v>53</v>
      </c>
      <c r="D342" s="10" t="s">
        <v>38</v>
      </c>
      <c r="E342" s="10" t="s">
        <v>96</v>
      </c>
      <c r="F342" s="11" t="s">
        <v>103</v>
      </c>
      <c r="G342" s="12">
        <f>700+120+J342+N342</f>
        <v>835</v>
      </c>
      <c r="H342" s="12">
        <v>0</v>
      </c>
      <c r="I342" s="68"/>
      <c r="J342" s="1">
        <v>15</v>
      </c>
      <c r="N342" s="1">
        <f>-15+15</f>
        <v>0</v>
      </c>
      <c r="P342" s="1">
        <v>15</v>
      </c>
    </row>
    <row r="343" spans="1:9" ht="15.75">
      <c r="A343" s="13"/>
      <c r="B343" s="10"/>
      <c r="C343" s="10"/>
      <c r="D343" s="10"/>
      <c r="E343" s="10"/>
      <c r="F343" s="11"/>
      <c r="G343" s="12"/>
      <c r="H343" s="12"/>
      <c r="I343" s="68"/>
    </row>
    <row r="344" spans="1:17" ht="15.75">
      <c r="A344" s="26" t="s">
        <v>170</v>
      </c>
      <c r="B344" s="10" t="s">
        <v>105</v>
      </c>
      <c r="C344" s="10"/>
      <c r="D344" s="10"/>
      <c r="E344" s="10"/>
      <c r="F344" s="11"/>
      <c r="G344" s="12">
        <f aca="true" t="shared" si="16" ref="G344:H346">G345</f>
        <v>8619</v>
      </c>
      <c r="H344" s="12">
        <f t="shared" si="16"/>
        <v>0</v>
      </c>
      <c r="I344" s="68"/>
      <c r="K344" s="1">
        <f>SUM(K345:K350)</f>
        <v>-2400</v>
      </c>
      <c r="N344" s="1">
        <f>SUM(N345:N350)</f>
        <v>-2390</v>
      </c>
      <c r="Q344" s="1">
        <f>SUM(Q345:Q350)</f>
        <v>1822</v>
      </c>
    </row>
    <row r="345" spans="1:17" ht="15.75">
      <c r="A345" s="13" t="s">
        <v>24</v>
      </c>
      <c r="B345" s="10" t="s">
        <v>105</v>
      </c>
      <c r="C345" s="10" t="s">
        <v>37</v>
      </c>
      <c r="D345" s="10"/>
      <c r="E345" s="10"/>
      <c r="F345" s="11"/>
      <c r="G345" s="12">
        <f t="shared" si="16"/>
        <v>8619</v>
      </c>
      <c r="H345" s="12">
        <f t="shared" si="16"/>
        <v>0</v>
      </c>
      <c r="I345" s="68"/>
      <c r="Q345" s="2"/>
    </row>
    <row r="346" spans="1:9" ht="63" customHeight="1">
      <c r="A346" s="13" t="s">
        <v>39</v>
      </c>
      <c r="B346" s="10" t="s">
        <v>105</v>
      </c>
      <c r="C346" s="10" t="s">
        <v>37</v>
      </c>
      <c r="D346" s="10" t="s">
        <v>40</v>
      </c>
      <c r="E346" s="10"/>
      <c r="F346" s="11"/>
      <c r="G346" s="12">
        <f t="shared" si="16"/>
        <v>8619</v>
      </c>
      <c r="H346" s="12">
        <f t="shared" si="16"/>
        <v>0</v>
      </c>
      <c r="I346" s="68"/>
    </row>
    <row r="347" spans="1:9" ht="31.5">
      <c r="A347" s="19" t="s">
        <v>81</v>
      </c>
      <c r="B347" s="10" t="s">
        <v>105</v>
      </c>
      <c r="C347" s="10" t="s">
        <v>37</v>
      </c>
      <c r="D347" s="10" t="s">
        <v>40</v>
      </c>
      <c r="E347" s="10" t="s">
        <v>82</v>
      </c>
      <c r="F347" s="11"/>
      <c r="G347" s="12">
        <f>SUM(G348:G350)</f>
        <v>8619</v>
      </c>
      <c r="H347" s="12">
        <f>SUM(H348:H348)</f>
        <v>0</v>
      </c>
      <c r="I347" s="68"/>
    </row>
    <row r="348" spans="1:17" ht="15.75">
      <c r="A348" s="25" t="s">
        <v>22</v>
      </c>
      <c r="B348" s="15" t="s">
        <v>105</v>
      </c>
      <c r="C348" s="15" t="s">
        <v>37</v>
      </c>
      <c r="D348" s="15" t="s">
        <v>40</v>
      </c>
      <c r="E348" s="15" t="s">
        <v>82</v>
      </c>
      <c r="F348" s="16" t="s">
        <v>23</v>
      </c>
      <c r="G348" s="22">
        <f>7461+400+K348+L348+N348+S348+Q348</f>
        <v>4743</v>
      </c>
      <c r="H348" s="22">
        <v>0</v>
      </c>
      <c r="I348" s="67"/>
      <c r="K348" s="1">
        <f>-1500-900</f>
        <v>-2400</v>
      </c>
      <c r="L348" s="1">
        <f>-310-500</f>
        <v>-810</v>
      </c>
      <c r="N348" s="1">
        <v>-965</v>
      </c>
      <c r="Q348" s="1">
        <v>1057</v>
      </c>
    </row>
    <row r="349" spans="1:17" ht="47.25">
      <c r="A349" s="19" t="s">
        <v>173</v>
      </c>
      <c r="B349" s="10" t="s">
        <v>105</v>
      </c>
      <c r="C349" s="10" t="s">
        <v>37</v>
      </c>
      <c r="D349" s="10" t="s">
        <v>40</v>
      </c>
      <c r="E349" s="10" t="s">
        <v>82</v>
      </c>
      <c r="F349" s="11" t="s">
        <v>174</v>
      </c>
      <c r="G349" s="12">
        <f>840+N349+S349+Q349</f>
        <v>894</v>
      </c>
      <c r="H349" s="12">
        <v>0</v>
      </c>
      <c r="I349" s="68"/>
      <c r="N349" s="1">
        <v>-184</v>
      </c>
      <c r="Q349" s="1">
        <v>238</v>
      </c>
    </row>
    <row r="350" spans="1:17" ht="47.25">
      <c r="A350" s="19" t="s">
        <v>175</v>
      </c>
      <c r="B350" s="10" t="s">
        <v>105</v>
      </c>
      <c r="C350" s="10" t="s">
        <v>37</v>
      </c>
      <c r="D350" s="10" t="s">
        <v>40</v>
      </c>
      <c r="E350" s="10" t="s">
        <v>82</v>
      </c>
      <c r="F350" s="11" t="s">
        <v>176</v>
      </c>
      <c r="G350" s="12">
        <f>4460+L350+N350+S350+Q350</f>
        <v>2982</v>
      </c>
      <c r="H350" s="12">
        <v>0</v>
      </c>
      <c r="I350" s="68"/>
      <c r="L350" s="1">
        <v>-764</v>
      </c>
      <c r="N350" s="1">
        <v>-1241</v>
      </c>
      <c r="Q350" s="1">
        <v>527</v>
      </c>
    </row>
    <row r="351" spans="1:9" ht="15.75">
      <c r="A351" s="19"/>
      <c r="B351" s="10"/>
      <c r="C351" s="10"/>
      <c r="D351" s="10"/>
      <c r="E351" s="10"/>
      <c r="F351" s="11"/>
      <c r="G351" s="12"/>
      <c r="H351" s="12"/>
      <c r="I351" s="68"/>
    </row>
    <row r="352" spans="1:20" ht="15.75">
      <c r="A352" s="28" t="s">
        <v>158</v>
      </c>
      <c r="B352" s="29"/>
      <c r="C352" s="29"/>
      <c r="D352" s="29"/>
      <c r="E352" s="29"/>
      <c r="F352" s="30"/>
      <c r="G352" s="31">
        <f>G344+G277+G269+G263+G257+G246+G226+G183+G160+G129+G123+G92+G68+G46+G30</f>
        <v>1691202</v>
      </c>
      <c r="H352" s="31">
        <f>H344+H277+H269+H263+H257+H246+H226+H183+H160+H129+H123+H92+H68+H46+H30</f>
        <v>131737</v>
      </c>
      <c r="I352" s="31">
        <f>I344+I277+I269+I263+I257+I246+I226+I183+I160+I129+I123+I92+I68+I46+I30</f>
        <v>422807</v>
      </c>
      <c r="J352" s="31">
        <f>J344+J277+J269+J263+J257+J246+J226+J183+J160+J129+J123+J92+J68+J46+J30</f>
        <v>-27122</v>
      </c>
      <c r="K352" s="31">
        <f>K344+K277+K269+K263+K257+K246+K226+K183+K160+K129+K123+K92+K68+K46+K30</f>
        <v>-2400</v>
      </c>
      <c r="L352" s="1">
        <f>SUM(L30:L351)</f>
        <v>4200</v>
      </c>
      <c r="N352" s="31">
        <f>N344+N277+N269+N263+N257+N246+N226+N183+N160+N129+N123+N92+N68+N46+N30</f>
        <v>1179</v>
      </c>
      <c r="O352" s="31">
        <f>O344+O277+O269+O263+O257+O246+O226+O183+O160+O129+O123+O92+O68+O46+O30</f>
        <v>1179</v>
      </c>
      <c r="P352" s="1">
        <f>SUM(P29:P351)</f>
        <v>10000</v>
      </c>
      <c r="Q352" s="31">
        <f>Q344+Q277+Q269+Q263+Q257+Q246+Q226+Q183+Q160+Q129+Q123+Q92+Q68+Q46+Q30</f>
        <v>24935</v>
      </c>
      <c r="R352" s="81">
        <f>R344+R277+R269+R263+R257+R246+R226+R183+R160+R129+R123+R92+R68+R46+R30</f>
        <v>10580</v>
      </c>
      <c r="S352" s="1">
        <f>SUM(S30:S351)</f>
        <v>0</v>
      </c>
      <c r="T352" s="89">
        <f>G352</f>
        <v>1691202</v>
      </c>
    </row>
    <row r="353" spans="1:6" ht="15.75">
      <c r="A353" s="32"/>
      <c r="B353" s="33"/>
      <c r="C353" s="33"/>
      <c r="D353" s="33"/>
      <c r="E353" s="33"/>
      <c r="F353" s="33"/>
    </row>
    <row r="354" spans="1:6" ht="15.75">
      <c r="A354" s="32"/>
      <c r="B354" s="33"/>
      <c r="C354" s="33"/>
      <c r="D354" s="33"/>
      <c r="E354" s="33"/>
      <c r="F354" s="33"/>
    </row>
    <row r="355" spans="1:6" ht="15.75">
      <c r="A355" s="32"/>
      <c r="B355" s="33"/>
      <c r="C355" s="33"/>
      <c r="D355" s="33"/>
      <c r="E355" s="33"/>
      <c r="F355" s="33"/>
    </row>
    <row r="356" spans="1:6" ht="15.75">
      <c r="A356" s="32"/>
      <c r="B356" s="33"/>
      <c r="C356" s="33"/>
      <c r="D356" s="33"/>
      <c r="E356" s="33"/>
      <c r="F356" s="33"/>
    </row>
    <row r="357" spans="1:6" ht="15.75">
      <c r="A357" s="32"/>
      <c r="B357" s="33"/>
      <c r="C357" s="33"/>
      <c r="D357" s="33"/>
      <c r="E357" s="33"/>
      <c r="F357" s="33"/>
    </row>
    <row r="358" spans="1:6" ht="15.75">
      <c r="A358" s="32"/>
      <c r="B358" s="33"/>
      <c r="C358" s="33"/>
      <c r="D358" s="33"/>
      <c r="E358" s="33"/>
      <c r="F358" s="33"/>
    </row>
    <row r="359" spans="1:6" ht="15.75">
      <c r="A359" s="32"/>
      <c r="B359" s="33"/>
      <c r="C359" s="33"/>
      <c r="D359" s="33"/>
      <c r="E359" s="33"/>
      <c r="F359" s="33"/>
    </row>
    <row r="360" spans="1:6" ht="15.75">
      <c r="A360" s="32"/>
      <c r="B360" s="33"/>
      <c r="C360" s="33"/>
      <c r="D360" s="33"/>
      <c r="E360" s="33"/>
      <c r="F360" s="33"/>
    </row>
    <row r="361" spans="1:6" ht="15.75">
      <c r="A361" s="32"/>
      <c r="B361" s="33"/>
      <c r="C361" s="33"/>
      <c r="D361" s="33"/>
      <c r="E361" s="33"/>
      <c r="F361" s="33"/>
    </row>
    <row r="362" spans="1:6" ht="15.75">
      <c r="A362" s="32"/>
      <c r="B362" s="33"/>
      <c r="C362" s="33"/>
      <c r="D362" s="33"/>
      <c r="E362" s="33"/>
      <c r="F362" s="33"/>
    </row>
    <row r="363" spans="1:6" ht="15.75">
      <c r="A363" s="32"/>
      <c r="B363" s="33"/>
      <c r="C363" s="33"/>
      <c r="D363" s="33"/>
      <c r="E363" s="33"/>
      <c r="F363" s="33"/>
    </row>
    <row r="364" spans="1:6" ht="15.75">
      <c r="A364" s="32"/>
      <c r="B364" s="33"/>
      <c r="C364" s="33"/>
      <c r="D364" s="33"/>
      <c r="E364" s="33"/>
      <c r="F364" s="33"/>
    </row>
    <row r="365" spans="1:6" ht="15.75">
      <c r="A365" s="32"/>
      <c r="B365" s="33"/>
      <c r="C365" s="33"/>
      <c r="D365" s="33"/>
      <c r="E365" s="33"/>
      <c r="F365" s="33"/>
    </row>
    <row r="366" spans="1:6" ht="15.75">
      <c r="A366" s="32"/>
      <c r="B366" s="33"/>
      <c r="C366" s="33"/>
      <c r="D366" s="33"/>
      <c r="E366" s="33"/>
      <c r="F366" s="33"/>
    </row>
    <row r="367" spans="1:6" ht="15.75">
      <c r="A367" s="32"/>
      <c r="B367" s="33"/>
      <c r="C367" s="33"/>
      <c r="D367" s="33"/>
      <c r="E367" s="33"/>
      <c r="F367" s="33"/>
    </row>
    <row r="368" spans="1:6" ht="15.75">
      <c r="A368" s="32"/>
      <c r="B368" s="33"/>
      <c r="C368" s="33"/>
      <c r="D368" s="33"/>
      <c r="E368" s="33"/>
      <c r="F368" s="33"/>
    </row>
    <row r="369" spans="1:6" ht="15.75">
      <c r="A369" s="32"/>
      <c r="B369" s="33"/>
      <c r="C369" s="33"/>
      <c r="D369" s="33"/>
      <c r="E369" s="33"/>
      <c r="F369" s="33"/>
    </row>
    <row r="370" spans="1:6" ht="15.75">
      <c r="A370" s="32"/>
      <c r="B370" s="33"/>
      <c r="C370" s="33"/>
      <c r="D370" s="33"/>
      <c r="E370" s="33"/>
      <c r="F370" s="33"/>
    </row>
    <row r="371" spans="1:6" ht="15.75">
      <c r="A371" s="32"/>
      <c r="B371" s="33"/>
      <c r="C371" s="33"/>
      <c r="D371" s="33"/>
      <c r="E371" s="33"/>
      <c r="F371" s="33"/>
    </row>
    <row r="372" spans="1:6" ht="15.75">
      <c r="A372" s="32"/>
      <c r="B372" s="33"/>
      <c r="C372" s="33"/>
      <c r="D372" s="33"/>
      <c r="E372" s="33"/>
      <c r="F372" s="33"/>
    </row>
    <row r="373" spans="1:6" ht="15.75">
      <c r="A373" s="32"/>
      <c r="B373" s="33"/>
      <c r="C373" s="33"/>
      <c r="D373" s="33"/>
      <c r="E373" s="33"/>
      <c r="F373" s="33"/>
    </row>
    <row r="374" spans="1:6" ht="15.75">
      <c r="A374" s="32"/>
      <c r="B374" s="33"/>
      <c r="C374" s="33"/>
      <c r="D374" s="33"/>
      <c r="E374" s="33"/>
      <c r="F374" s="33"/>
    </row>
    <row r="375" spans="1:6" ht="15.75">
      <c r="A375" s="32"/>
      <c r="B375" s="33"/>
      <c r="C375" s="33"/>
      <c r="D375" s="33"/>
      <c r="E375" s="33"/>
      <c r="F375" s="33"/>
    </row>
    <row r="376" spans="1:6" ht="15.75">
      <c r="A376" s="32"/>
      <c r="B376" s="33"/>
      <c r="C376" s="33"/>
      <c r="D376" s="33"/>
      <c r="E376" s="33"/>
      <c r="F376" s="33"/>
    </row>
    <row r="377" spans="1:6" ht="15.75">
      <c r="A377" s="32"/>
      <c r="B377" s="33"/>
      <c r="C377" s="33"/>
      <c r="D377" s="33"/>
      <c r="E377" s="33"/>
      <c r="F377" s="33"/>
    </row>
    <row r="378" spans="1:6" ht="15.75">
      <c r="A378" s="32"/>
      <c r="B378" s="33"/>
      <c r="C378" s="33"/>
      <c r="D378" s="33"/>
      <c r="E378" s="33"/>
      <c r="F378" s="33"/>
    </row>
    <row r="379" spans="1:6" ht="15.75">
      <c r="A379" s="32"/>
      <c r="B379" s="33"/>
      <c r="C379" s="33"/>
      <c r="D379" s="33"/>
      <c r="E379" s="33"/>
      <c r="F379" s="33"/>
    </row>
    <row r="380" spans="1:6" ht="15.75">
      <c r="A380" s="32"/>
      <c r="B380" s="33"/>
      <c r="C380" s="33"/>
      <c r="D380" s="33"/>
      <c r="E380" s="33"/>
      <c r="F380" s="33"/>
    </row>
    <row r="381" spans="1:6" ht="15.75">
      <c r="A381" s="32"/>
      <c r="B381" s="33"/>
      <c r="C381" s="33"/>
      <c r="D381" s="33"/>
      <c r="E381" s="33"/>
      <c r="F381" s="33"/>
    </row>
    <row r="382" spans="1:6" ht="15.75">
      <c r="A382" s="32"/>
      <c r="B382" s="33"/>
      <c r="C382" s="33"/>
      <c r="D382" s="33"/>
      <c r="E382" s="33"/>
      <c r="F382" s="33"/>
    </row>
    <row r="383" spans="1:6" ht="15.75">
      <c r="A383" s="32"/>
      <c r="B383" s="33"/>
      <c r="C383" s="33"/>
      <c r="D383" s="33"/>
      <c r="E383" s="33"/>
      <c r="F383" s="33"/>
    </row>
    <row r="384" spans="1:6" ht="15.75">
      <c r="A384" s="32"/>
      <c r="B384" s="33"/>
      <c r="C384" s="33"/>
      <c r="D384" s="33"/>
      <c r="E384" s="33"/>
      <c r="F384" s="33"/>
    </row>
    <row r="385" spans="1:6" ht="15.75">
      <c r="A385" s="32"/>
      <c r="B385" s="33"/>
      <c r="C385" s="33"/>
      <c r="D385" s="33"/>
      <c r="E385" s="33"/>
      <c r="F385" s="33"/>
    </row>
    <row r="386" spans="1:6" ht="15.75">
      <c r="A386" s="32"/>
      <c r="B386" s="33"/>
      <c r="C386" s="33"/>
      <c r="D386" s="33"/>
      <c r="E386" s="33"/>
      <c r="F386" s="33"/>
    </row>
    <row r="387" spans="1:6" ht="15.75">
      <c r="A387" s="32"/>
      <c r="B387" s="33"/>
      <c r="C387" s="33"/>
      <c r="D387" s="33"/>
      <c r="E387" s="33"/>
      <c r="F387" s="33"/>
    </row>
    <row r="388" spans="1:6" ht="15.75">
      <c r="A388" s="32"/>
      <c r="B388" s="33"/>
      <c r="C388" s="33"/>
      <c r="D388" s="33"/>
      <c r="E388" s="33"/>
      <c r="F388" s="33"/>
    </row>
    <row r="389" spans="1:6" ht="15.75">
      <c r="A389" s="32"/>
      <c r="B389" s="33"/>
      <c r="C389" s="33"/>
      <c r="D389" s="33"/>
      <c r="E389" s="33"/>
      <c r="F389" s="33"/>
    </row>
    <row r="390" spans="1:6" ht="15.75">
      <c r="A390" s="32"/>
      <c r="B390" s="33"/>
      <c r="C390" s="33"/>
      <c r="D390" s="33"/>
      <c r="E390" s="33"/>
      <c r="F390" s="33"/>
    </row>
    <row r="391" spans="1:6" ht="15.75">
      <c r="A391" s="32"/>
      <c r="B391" s="33"/>
      <c r="C391" s="33"/>
      <c r="D391" s="33"/>
      <c r="E391" s="33"/>
      <c r="F391" s="33"/>
    </row>
    <row r="392" spans="1:6" ht="15.75">
      <c r="A392" s="32"/>
      <c r="B392" s="33"/>
      <c r="C392" s="33"/>
      <c r="D392" s="33"/>
      <c r="E392" s="33"/>
      <c r="F392" s="33"/>
    </row>
    <row r="393" spans="1:6" ht="15.75">
      <c r="A393" s="32"/>
      <c r="B393" s="33"/>
      <c r="C393" s="33"/>
      <c r="D393" s="33"/>
      <c r="E393" s="33"/>
      <c r="F393" s="33"/>
    </row>
    <row r="394" spans="1:6" ht="15.75">
      <c r="A394" s="32"/>
      <c r="B394" s="33"/>
      <c r="C394" s="33"/>
      <c r="D394" s="33"/>
      <c r="E394" s="33"/>
      <c r="F394" s="33"/>
    </row>
    <row r="395" spans="1:6" ht="15.75">
      <c r="A395" s="32"/>
      <c r="B395" s="33"/>
      <c r="C395" s="33"/>
      <c r="D395" s="33"/>
      <c r="E395" s="33"/>
      <c r="F395" s="33"/>
    </row>
    <row r="396" spans="1:6" ht="15.75">
      <c r="A396" s="32"/>
      <c r="B396" s="33"/>
      <c r="C396" s="33"/>
      <c r="D396" s="33"/>
      <c r="E396" s="33"/>
      <c r="F396" s="33"/>
    </row>
    <row r="397" spans="1:6" ht="15.75">
      <c r="A397" s="32"/>
      <c r="B397" s="33"/>
      <c r="C397" s="33"/>
      <c r="D397" s="33"/>
      <c r="E397" s="33"/>
      <c r="F397" s="33"/>
    </row>
    <row r="398" spans="1:6" ht="15.75">
      <c r="A398" s="32"/>
      <c r="B398" s="33"/>
      <c r="C398" s="33"/>
      <c r="D398" s="33"/>
      <c r="E398" s="33"/>
      <c r="F398" s="33"/>
    </row>
    <row r="399" spans="1:6" ht="15.75">
      <c r="A399" s="32"/>
      <c r="B399" s="33"/>
      <c r="C399" s="33"/>
      <c r="D399" s="33"/>
      <c r="E399" s="33"/>
      <c r="F399" s="33"/>
    </row>
    <row r="400" spans="1:6" ht="15.75">
      <c r="A400" s="32"/>
      <c r="B400" s="33"/>
      <c r="C400" s="33"/>
      <c r="D400" s="33"/>
      <c r="E400" s="33"/>
      <c r="F400" s="33"/>
    </row>
    <row r="401" spans="1:6" ht="15.75">
      <c r="A401" s="32"/>
      <c r="B401" s="33"/>
      <c r="C401" s="33"/>
      <c r="D401" s="33"/>
      <c r="E401" s="33"/>
      <c r="F401" s="33"/>
    </row>
    <row r="402" spans="1:6" ht="15.75">
      <c r="A402" s="32"/>
      <c r="B402" s="33"/>
      <c r="C402" s="33"/>
      <c r="D402" s="33"/>
      <c r="E402" s="33"/>
      <c r="F402" s="33"/>
    </row>
    <row r="403" spans="1:6" ht="15.75">
      <c r="A403" s="32"/>
      <c r="B403" s="33"/>
      <c r="C403" s="33"/>
      <c r="D403" s="33"/>
      <c r="E403" s="33"/>
      <c r="F403" s="33"/>
    </row>
    <row r="404" spans="1:6" ht="15.75">
      <c r="A404" s="32"/>
      <c r="B404" s="33"/>
      <c r="C404" s="33"/>
      <c r="D404" s="33"/>
      <c r="E404" s="33"/>
      <c r="F404" s="33"/>
    </row>
    <row r="405" spans="1:6" ht="15.75">
      <c r="A405" s="32"/>
      <c r="B405" s="33"/>
      <c r="C405" s="33"/>
      <c r="D405" s="33"/>
      <c r="E405" s="33"/>
      <c r="F405" s="33"/>
    </row>
    <row r="406" spans="1:6" ht="15.75">
      <c r="A406" s="32"/>
      <c r="B406" s="33"/>
      <c r="C406" s="33"/>
      <c r="D406" s="33"/>
      <c r="E406" s="33"/>
      <c r="F406" s="33"/>
    </row>
    <row r="407" spans="1:6" ht="15.75">
      <c r="A407" s="32"/>
      <c r="B407" s="33"/>
      <c r="C407" s="33"/>
      <c r="D407" s="33"/>
      <c r="E407" s="33"/>
      <c r="F407" s="33"/>
    </row>
    <row r="408" spans="1:6" ht="15.75">
      <c r="A408" s="32"/>
      <c r="B408" s="33"/>
      <c r="C408" s="33"/>
      <c r="D408" s="33"/>
      <c r="E408" s="33"/>
      <c r="F408" s="33"/>
    </row>
    <row r="409" spans="1:6" ht="15.75">
      <c r="A409" s="32"/>
      <c r="B409" s="33"/>
      <c r="C409" s="33"/>
      <c r="D409" s="33"/>
      <c r="E409" s="33"/>
      <c r="F409" s="33"/>
    </row>
    <row r="410" spans="1:6" ht="15.75">
      <c r="A410" s="32"/>
      <c r="B410" s="33"/>
      <c r="C410" s="33"/>
      <c r="D410" s="33"/>
      <c r="E410" s="33"/>
      <c r="F410" s="33"/>
    </row>
    <row r="411" spans="1:6" ht="15.75">
      <c r="A411" s="32"/>
      <c r="B411" s="33"/>
      <c r="C411" s="33"/>
      <c r="D411" s="33"/>
      <c r="E411" s="33"/>
      <c r="F411" s="33"/>
    </row>
    <row r="412" spans="1:6" ht="15.75">
      <c r="A412" s="32"/>
      <c r="B412" s="33"/>
      <c r="C412" s="33"/>
      <c r="D412" s="33"/>
      <c r="E412" s="33"/>
      <c r="F412" s="33"/>
    </row>
    <row r="413" spans="1:6" ht="15.75">
      <c r="A413" s="32"/>
      <c r="B413" s="33"/>
      <c r="C413" s="33"/>
      <c r="D413" s="33"/>
      <c r="E413" s="33"/>
      <c r="F413" s="33"/>
    </row>
    <row r="414" spans="1:6" ht="15.75">
      <c r="A414" s="32"/>
      <c r="B414" s="33"/>
      <c r="C414" s="33"/>
      <c r="D414" s="33"/>
      <c r="E414" s="33"/>
      <c r="F414" s="33"/>
    </row>
    <row r="415" spans="1:6" ht="15.75">
      <c r="A415" s="32"/>
      <c r="B415" s="33"/>
      <c r="C415" s="33"/>
      <c r="D415" s="33"/>
      <c r="E415" s="33"/>
      <c r="F415" s="33"/>
    </row>
    <row r="416" spans="1:6" ht="15.75">
      <c r="A416" s="32"/>
      <c r="B416" s="33"/>
      <c r="C416" s="33"/>
      <c r="D416" s="33"/>
      <c r="E416" s="33"/>
      <c r="F416" s="33"/>
    </row>
    <row r="417" spans="1:6" ht="15.75">
      <c r="A417" s="32"/>
      <c r="B417" s="33"/>
      <c r="C417" s="33"/>
      <c r="D417" s="33"/>
      <c r="E417" s="33"/>
      <c r="F417" s="33"/>
    </row>
    <row r="418" spans="1:6" ht="15.75">
      <c r="A418" s="32"/>
      <c r="B418" s="33"/>
      <c r="C418" s="33"/>
      <c r="D418" s="33"/>
      <c r="E418" s="33"/>
      <c r="F418" s="33"/>
    </row>
    <row r="419" spans="1:6" ht="15.75">
      <c r="A419" s="32"/>
      <c r="B419" s="33"/>
      <c r="C419" s="33"/>
      <c r="D419" s="33"/>
      <c r="E419" s="33"/>
      <c r="F419" s="33"/>
    </row>
    <row r="420" spans="1:6" ht="15.75">
      <c r="A420" s="32"/>
      <c r="B420" s="33"/>
      <c r="C420" s="33"/>
      <c r="D420" s="33"/>
      <c r="E420" s="33"/>
      <c r="F420" s="33"/>
    </row>
    <row r="421" spans="1:6" ht="15.75">
      <c r="A421" s="32"/>
      <c r="B421" s="33"/>
      <c r="C421" s="33"/>
      <c r="D421" s="33"/>
      <c r="E421" s="33"/>
      <c r="F421" s="33"/>
    </row>
    <row r="422" spans="1:6" ht="15.75">
      <c r="A422" s="32"/>
      <c r="B422" s="33"/>
      <c r="C422" s="33"/>
      <c r="D422" s="33"/>
      <c r="E422" s="33"/>
      <c r="F422" s="33"/>
    </row>
    <row r="423" spans="1:6" ht="15.75">
      <c r="A423" s="32"/>
      <c r="B423" s="33"/>
      <c r="C423" s="33"/>
      <c r="D423" s="33"/>
      <c r="E423" s="33"/>
      <c r="F423" s="33"/>
    </row>
    <row r="424" spans="1:6" ht="15.75">
      <c r="A424" s="32"/>
      <c r="B424" s="33"/>
      <c r="C424" s="33"/>
      <c r="D424" s="33"/>
      <c r="E424" s="33"/>
      <c r="F424" s="33"/>
    </row>
    <row r="425" spans="1:6" ht="15.75">
      <c r="A425" s="32"/>
      <c r="B425" s="33"/>
      <c r="C425" s="33"/>
      <c r="D425" s="33"/>
      <c r="E425" s="33"/>
      <c r="F425" s="33"/>
    </row>
    <row r="426" spans="1:6" ht="15.75">
      <c r="A426" s="32"/>
      <c r="B426" s="33"/>
      <c r="C426" s="33"/>
      <c r="D426" s="33"/>
      <c r="E426" s="33"/>
      <c r="F426" s="33"/>
    </row>
    <row r="427" spans="1:6" ht="15.75">
      <c r="A427" s="32"/>
      <c r="B427" s="33"/>
      <c r="C427" s="33"/>
      <c r="D427" s="33"/>
      <c r="E427" s="33"/>
      <c r="F427" s="33"/>
    </row>
    <row r="428" spans="1:6" ht="15.75">
      <c r="A428" s="32"/>
      <c r="B428" s="33"/>
      <c r="C428" s="33"/>
      <c r="D428" s="33"/>
      <c r="E428" s="33"/>
      <c r="F428" s="33"/>
    </row>
    <row r="429" spans="1:6" ht="15.75">
      <c r="A429" s="32"/>
      <c r="B429" s="33"/>
      <c r="C429" s="33"/>
      <c r="D429" s="33"/>
      <c r="E429" s="33"/>
      <c r="F429" s="33"/>
    </row>
    <row r="430" spans="1:6" ht="15.75">
      <c r="A430" s="32"/>
      <c r="B430" s="33"/>
      <c r="C430" s="33"/>
      <c r="D430" s="33"/>
      <c r="E430" s="33"/>
      <c r="F430" s="33"/>
    </row>
    <row r="431" spans="1:6" ht="15.75">
      <c r="A431" s="32"/>
      <c r="B431" s="33"/>
      <c r="C431" s="33"/>
      <c r="D431" s="33"/>
      <c r="E431" s="33"/>
      <c r="F431" s="33"/>
    </row>
    <row r="432" spans="1:6" ht="15.75">
      <c r="A432" s="32"/>
      <c r="B432" s="33"/>
      <c r="C432" s="33"/>
      <c r="D432" s="33"/>
      <c r="E432" s="33"/>
      <c r="F432" s="33"/>
    </row>
    <row r="433" spans="1:6" ht="15.75">
      <c r="A433" s="32"/>
      <c r="B433" s="33"/>
      <c r="C433" s="33"/>
      <c r="D433" s="33"/>
      <c r="E433" s="33"/>
      <c r="F433" s="33"/>
    </row>
    <row r="434" spans="1:6" ht="15.75">
      <c r="A434" s="32"/>
      <c r="B434" s="33"/>
      <c r="C434" s="33"/>
      <c r="D434" s="33"/>
      <c r="E434" s="33"/>
      <c r="F434" s="33"/>
    </row>
    <row r="435" spans="1:6" ht="15.75">
      <c r="A435" s="32"/>
      <c r="B435" s="33"/>
      <c r="C435" s="33"/>
      <c r="D435" s="33"/>
      <c r="E435" s="33"/>
      <c r="F435" s="33"/>
    </row>
    <row r="436" spans="1:6" ht="15.75">
      <c r="A436" s="32"/>
      <c r="B436" s="33"/>
      <c r="C436" s="33"/>
      <c r="D436" s="33"/>
      <c r="E436" s="33"/>
      <c r="F436" s="33"/>
    </row>
    <row r="437" spans="1:6" ht="15.75">
      <c r="A437" s="32"/>
      <c r="B437" s="33"/>
      <c r="C437" s="33"/>
      <c r="D437" s="33"/>
      <c r="E437" s="33"/>
      <c r="F437" s="33"/>
    </row>
    <row r="438" spans="1:6" ht="15.75">
      <c r="A438" s="32"/>
      <c r="B438" s="33"/>
      <c r="C438" s="33"/>
      <c r="D438" s="33"/>
      <c r="E438" s="33"/>
      <c r="F438" s="33"/>
    </row>
    <row r="439" spans="1:6" ht="15.75">
      <c r="A439" s="32"/>
      <c r="B439" s="33"/>
      <c r="C439" s="33"/>
      <c r="D439" s="33"/>
      <c r="E439" s="33"/>
      <c r="F439" s="33"/>
    </row>
    <row r="440" spans="1:6" ht="15.75">
      <c r="A440" s="32"/>
      <c r="B440" s="33"/>
      <c r="C440" s="33"/>
      <c r="D440" s="33"/>
      <c r="E440" s="33"/>
      <c r="F440" s="33"/>
    </row>
    <row r="441" spans="1:6" ht="15.75">
      <c r="A441" s="32"/>
      <c r="B441" s="33"/>
      <c r="C441" s="33"/>
      <c r="D441" s="33"/>
      <c r="E441" s="33"/>
      <c r="F441" s="33"/>
    </row>
    <row r="442" spans="1:6" ht="15.75">
      <c r="A442" s="32"/>
      <c r="B442" s="33"/>
      <c r="C442" s="33"/>
      <c r="D442" s="33"/>
      <c r="E442" s="33"/>
      <c r="F442" s="33"/>
    </row>
    <row r="443" spans="1:6" ht="15.75">
      <c r="A443" s="32"/>
      <c r="B443" s="33"/>
      <c r="C443" s="33"/>
      <c r="D443" s="33"/>
      <c r="E443" s="33"/>
      <c r="F443" s="33"/>
    </row>
    <row r="444" spans="1:6" ht="15.75">
      <c r="A444" s="32"/>
      <c r="B444" s="33"/>
      <c r="C444" s="33"/>
      <c r="D444" s="33"/>
      <c r="E444" s="33"/>
      <c r="F444" s="33"/>
    </row>
    <row r="445" spans="1:6" ht="15.75">
      <c r="A445" s="32"/>
      <c r="B445" s="33"/>
      <c r="C445" s="33"/>
      <c r="D445" s="33"/>
      <c r="E445" s="33"/>
      <c r="F445" s="33"/>
    </row>
    <row r="446" spans="1:6" ht="15.75">
      <c r="A446" s="32"/>
      <c r="B446" s="33"/>
      <c r="C446" s="33"/>
      <c r="D446" s="33"/>
      <c r="E446" s="33"/>
      <c r="F446" s="33"/>
    </row>
    <row r="447" spans="1:6" ht="15.75">
      <c r="A447" s="32"/>
      <c r="B447" s="33"/>
      <c r="C447" s="33"/>
      <c r="D447" s="33"/>
      <c r="E447" s="33"/>
      <c r="F447" s="33"/>
    </row>
    <row r="448" spans="1:6" ht="15.75">
      <c r="A448" s="32"/>
      <c r="B448" s="33"/>
      <c r="C448" s="33"/>
      <c r="D448" s="33"/>
      <c r="E448" s="33"/>
      <c r="F448" s="33"/>
    </row>
    <row r="449" spans="1:6" ht="15.75">
      <c r="A449" s="32"/>
      <c r="B449" s="33"/>
      <c r="C449" s="33"/>
      <c r="D449" s="33"/>
      <c r="E449" s="33"/>
      <c r="F449" s="33"/>
    </row>
    <row r="450" spans="1:6" ht="15.75">
      <c r="A450" s="32"/>
      <c r="B450" s="33"/>
      <c r="C450" s="33"/>
      <c r="D450" s="33"/>
      <c r="E450" s="33"/>
      <c r="F450" s="33"/>
    </row>
    <row r="451" spans="1:6" ht="15.75">
      <c r="A451" s="32"/>
      <c r="B451" s="33"/>
      <c r="C451" s="33"/>
      <c r="D451" s="33"/>
      <c r="E451" s="33"/>
      <c r="F451" s="33"/>
    </row>
    <row r="452" spans="1:6" ht="15.75">
      <c r="A452" s="32"/>
      <c r="B452" s="33"/>
      <c r="C452" s="33"/>
      <c r="D452" s="33"/>
      <c r="E452" s="33"/>
      <c r="F452" s="33"/>
    </row>
    <row r="453" spans="1:6" ht="15.75">
      <c r="A453" s="32"/>
      <c r="B453" s="33"/>
      <c r="C453" s="33"/>
      <c r="D453" s="33"/>
      <c r="E453" s="33"/>
      <c r="F453" s="33"/>
    </row>
    <row r="454" spans="1:6" ht="15.75">
      <c r="A454" s="32"/>
      <c r="B454" s="33"/>
      <c r="C454" s="33"/>
      <c r="D454" s="33"/>
      <c r="E454" s="33"/>
      <c r="F454" s="33"/>
    </row>
    <row r="455" spans="1:6" ht="15.75">
      <c r="A455" s="32"/>
      <c r="B455" s="33"/>
      <c r="C455" s="33"/>
      <c r="D455" s="33"/>
      <c r="E455" s="33"/>
      <c r="F455" s="33"/>
    </row>
    <row r="456" spans="1:6" ht="15.75">
      <c r="A456" s="32"/>
      <c r="B456" s="33"/>
      <c r="C456" s="33"/>
      <c r="D456" s="33"/>
      <c r="E456" s="33"/>
      <c r="F456" s="33"/>
    </row>
    <row r="457" spans="1:6" ht="15.75">
      <c r="A457" s="32"/>
      <c r="B457" s="33"/>
      <c r="C457" s="33"/>
      <c r="D457" s="33"/>
      <c r="E457" s="33"/>
      <c r="F457" s="33"/>
    </row>
    <row r="458" spans="1:6" ht="15.75">
      <c r="A458" s="32"/>
      <c r="B458" s="33"/>
      <c r="C458" s="33"/>
      <c r="D458" s="33"/>
      <c r="E458" s="33"/>
      <c r="F458" s="33"/>
    </row>
    <row r="459" spans="1:6" ht="15.75">
      <c r="A459" s="32"/>
      <c r="B459" s="33"/>
      <c r="C459" s="33"/>
      <c r="D459" s="33"/>
      <c r="E459" s="33"/>
      <c r="F459" s="33"/>
    </row>
    <row r="460" spans="1:6" ht="15.75">
      <c r="A460" s="32"/>
      <c r="B460" s="33"/>
      <c r="C460" s="33"/>
      <c r="D460" s="33"/>
      <c r="E460" s="33"/>
      <c r="F460" s="33"/>
    </row>
    <row r="461" spans="1:6" ht="15.75">
      <c r="A461" s="32"/>
      <c r="B461" s="33"/>
      <c r="C461" s="33"/>
      <c r="D461" s="33"/>
      <c r="E461" s="33"/>
      <c r="F461" s="33"/>
    </row>
    <row r="462" spans="1:6" ht="15.75">
      <c r="A462" s="32"/>
      <c r="B462" s="33"/>
      <c r="C462" s="33"/>
      <c r="D462" s="33"/>
      <c r="E462" s="33"/>
      <c r="F462" s="33"/>
    </row>
    <row r="463" spans="1:6" ht="15.75">
      <c r="A463" s="32"/>
      <c r="B463" s="33"/>
      <c r="C463" s="33"/>
      <c r="D463" s="33"/>
      <c r="E463" s="33"/>
      <c r="F463" s="33"/>
    </row>
    <row r="464" spans="1:6" ht="15.75">
      <c r="A464" s="32"/>
      <c r="B464" s="33"/>
      <c r="C464" s="33"/>
      <c r="D464" s="33"/>
      <c r="E464" s="33"/>
      <c r="F464" s="33"/>
    </row>
    <row r="465" spans="1:6" ht="15.75">
      <c r="A465" s="32"/>
      <c r="B465" s="33"/>
      <c r="C465" s="33"/>
      <c r="D465" s="33"/>
      <c r="E465" s="33"/>
      <c r="F465" s="33"/>
    </row>
    <row r="466" spans="1:6" ht="15.75">
      <c r="A466" s="32"/>
      <c r="B466" s="33"/>
      <c r="C466" s="33"/>
      <c r="D466" s="33"/>
      <c r="E466" s="33"/>
      <c r="F466" s="33"/>
    </row>
    <row r="467" spans="1:6" ht="15.75">
      <c r="A467" s="32"/>
      <c r="B467" s="33"/>
      <c r="C467" s="33"/>
      <c r="D467" s="33"/>
      <c r="E467" s="33"/>
      <c r="F467" s="33"/>
    </row>
    <row r="468" spans="1:6" ht="15.75">
      <c r="A468" s="32"/>
      <c r="B468" s="33"/>
      <c r="C468" s="33"/>
      <c r="D468" s="33"/>
      <c r="E468" s="33"/>
      <c r="F468" s="33"/>
    </row>
    <row r="469" spans="1:6" ht="15.75">
      <c r="A469" s="32"/>
      <c r="B469" s="33"/>
      <c r="C469" s="33"/>
      <c r="D469" s="33"/>
      <c r="E469" s="33"/>
      <c r="F469" s="33"/>
    </row>
    <row r="470" spans="1:6" ht="15.75">
      <c r="A470" s="32"/>
      <c r="B470" s="33"/>
      <c r="C470" s="33"/>
      <c r="D470" s="33"/>
      <c r="E470" s="33"/>
      <c r="F470" s="33"/>
    </row>
    <row r="471" spans="1:6" ht="15.75">
      <c r="A471" s="32"/>
      <c r="B471" s="33"/>
      <c r="C471" s="33"/>
      <c r="D471" s="33"/>
      <c r="E471" s="33"/>
      <c r="F471" s="33"/>
    </row>
    <row r="472" spans="1:6" ht="15.75">
      <c r="A472" s="32"/>
      <c r="B472" s="33"/>
      <c r="C472" s="33"/>
      <c r="D472" s="33"/>
      <c r="E472" s="33"/>
      <c r="F472" s="33"/>
    </row>
    <row r="473" spans="1:6" ht="15.75">
      <c r="A473" s="32"/>
      <c r="B473" s="33"/>
      <c r="C473" s="33"/>
      <c r="D473" s="33"/>
      <c r="E473" s="33"/>
      <c r="F473" s="33"/>
    </row>
    <row r="474" spans="1:6" ht="15.75">
      <c r="A474" s="32"/>
      <c r="B474" s="33"/>
      <c r="C474" s="33"/>
      <c r="D474" s="33"/>
      <c r="E474" s="33"/>
      <c r="F474" s="33"/>
    </row>
    <row r="475" spans="1:6" ht="15.75">
      <c r="A475" s="32"/>
      <c r="B475" s="33"/>
      <c r="C475" s="33"/>
      <c r="D475" s="33"/>
      <c r="E475" s="33"/>
      <c r="F475" s="33"/>
    </row>
    <row r="476" spans="1:6" ht="15.75">
      <c r="A476" s="32"/>
      <c r="B476" s="33"/>
      <c r="C476" s="33"/>
      <c r="D476" s="33"/>
      <c r="E476" s="33"/>
      <c r="F476" s="33"/>
    </row>
    <row r="477" spans="1:6" ht="15.75">
      <c r="A477" s="32"/>
      <c r="B477" s="33"/>
      <c r="C477" s="33"/>
      <c r="D477" s="33"/>
      <c r="E477" s="33"/>
      <c r="F477" s="33"/>
    </row>
    <row r="478" spans="1:6" ht="15.75">
      <c r="A478" s="32"/>
      <c r="B478" s="33"/>
      <c r="C478" s="33"/>
      <c r="D478" s="33"/>
      <c r="E478" s="33"/>
      <c r="F478" s="33"/>
    </row>
    <row r="479" spans="1:6" ht="15.75">
      <c r="A479" s="32"/>
      <c r="B479" s="33"/>
      <c r="C479" s="33"/>
      <c r="D479" s="33"/>
      <c r="E479" s="33"/>
      <c r="F479" s="33"/>
    </row>
    <row r="480" spans="1:6" ht="15.75">
      <c r="A480" s="32"/>
      <c r="B480" s="33"/>
      <c r="C480" s="33"/>
      <c r="D480" s="33"/>
      <c r="E480" s="33"/>
      <c r="F480" s="33"/>
    </row>
    <row r="481" spans="1:6" ht="15.75">
      <c r="A481" s="32"/>
      <c r="B481" s="33"/>
      <c r="C481" s="33"/>
      <c r="D481" s="33"/>
      <c r="E481" s="33"/>
      <c r="F481" s="33"/>
    </row>
    <row r="482" spans="1:6" ht="15.75">
      <c r="A482" s="32"/>
      <c r="B482" s="33"/>
      <c r="C482" s="33"/>
      <c r="D482" s="33"/>
      <c r="E482" s="33"/>
      <c r="F482" s="33"/>
    </row>
    <row r="483" spans="1:6" ht="15.75">
      <c r="A483" s="32"/>
      <c r="B483" s="33"/>
      <c r="C483" s="33"/>
      <c r="D483" s="33"/>
      <c r="E483" s="33"/>
      <c r="F483" s="33"/>
    </row>
    <row r="484" spans="1:6" ht="15.75">
      <c r="A484" s="32"/>
      <c r="B484" s="33"/>
      <c r="C484" s="33"/>
      <c r="D484" s="33"/>
      <c r="E484" s="33"/>
      <c r="F484" s="33"/>
    </row>
    <row r="485" spans="1:6" ht="15.75">
      <c r="A485" s="32"/>
      <c r="B485" s="33"/>
      <c r="C485" s="33"/>
      <c r="D485" s="33"/>
      <c r="E485" s="33"/>
      <c r="F485" s="33"/>
    </row>
    <row r="486" spans="1:6" ht="15.75">
      <c r="A486" s="3"/>
      <c r="B486" s="4"/>
      <c r="C486" s="4"/>
      <c r="D486" s="4"/>
      <c r="E486" s="4"/>
      <c r="F486" s="4"/>
    </row>
    <row r="487" spans="1:6" ht="15.75">
      <c r="A487" s="3"/>
      <c r="B487" s="4"/>
      <c r="C487" s="4"/>
      <c r="D487" s="4"/>
      <c r="E487" s="4"/>
      <c r="F487" s="4"/>
    </row>
    <row r="488" spans="1:6" ht="15.75">
      <c r="A488" s="3"/>
      <c r="B488" s="4"/>
      <c r="C488" s="4"/>
      <c r="D488" s="4"/>
      <c r="E488" s="4"/>
      <c r="F488" s="4"/>
    </row>
    <row r="489" spans="1:6" ht="15.75">
      <c r="A489" s="3"/>
      <c r="B489" s="4"/>
      <c r="C489" s="4"/>
      <c r="D489" s="4"/>
      <c r="E489" s="4"/>
      <c r="F489" s="4"/>
    </row>
    <row r="490" spans="1:6" ht="15.75">
      <c r="A490" s="3"/>
      <c r="B490" s="4"/>
      <c r="C490" s="4"/>
      <c r="D490" s="4"/>
      <c r="E490" s="4"/>
      <c r="F490" s="4"/>
    </row>
    <row r="491" spans="1:6" ht="15.75">
      <c r="A491" s="3"/>
      <c r="B491" s="4"/>
      <c r="C491" s="4"/>
      <c r="D491" s="4"/>
      <c r="E491" s="4"/>
      <c r="F491" s="4"/>
    </row>
    <row r="492" spans="1:6" ht="15.75">
      <c r="A492" s="3"/>
      <c r="B492" s="4"/>
      <c r="C492" s="4"/>
      <c r="D492" s="4"/>
      <c r="E492" s="4"/>
      <c r="F492" s="4"/>
    </row>
    <row r="493" spans="1:6" ht="15.75">
      <c r="A493" s="3"/>
      <c r="B493" s="4"/>
      <c r="C493" s="4"/>
      <c r="D493" s="4"/>
      <c r="E493" s="4"/>
      <c r="F493" s="4"/>
    </row>
    <row r="494" spans="1:6" ht="15.75">
      <c r="A494" s="3"/>
      <c r="B494" s="4"/>
      <c r="C494" s="4"/>
      <c r="D494" s="4"/>
      <c r="E494" s="4"/>
      <c r="F494" s="4"/>
    </row>
    <row r="495" spans="1:6" ht="15.75">
      <c r="A495" s="3"/>
      <c r="B495" s="4"/>
      <c r="C495" s="4"/>
      <c r="D495" s="4"/>
      <c r="E495" s="4"/>
      <c r="F495" s="4"/>
    </row>
    <row r="496" spans="1:6" ht="15.75">
      <c r="A496" s="3"/>
      <c r="B496" s="4"/>
      <c r="C496" s="4"/>
      <c r="D496" s="4"/>
      <c r="E496" s="4"/>
      <c r="F496" s="4"/>
    </row>
    <row r="497" spans="1:6" ht="15.75">
      <c r="A497" s="3"/>
      <c r="B497" s="4"/>
      <c r="C497" s="4"/>
      <c r="D497" s="4"/>
      <c r="E497" s="4"/>
      <c r="F497" s="4"/>
    </row>
    <row r="498" spans="1:6" ht="15.75">
      <c r="A498" s="3"/>
      <c r="B498" s="4"/>
      <c r="C498" s="4"/>
      <c r="D498" s="4"/>
      <c r="E498" s="4"/>
      <c r="F498" s="4"/>
    </row>
    <row r="499" spans="1:6" ht="15.75">
      <c r="A499" s="3"/>
      <c r="B499" s="4"/>
      <c r="C499" s="4"/>
      <c r="D499" s="4"/>
      <c r="E499" s="4"/>
      <c r="F499" s="4"/>
    </row>
    <row r="500" spans="1:6" ht="15.75">
      <c r="A500" s="3"/>
      <c r="B500" s="4"/>
      <c r="C500" s="4"/>
      <c r="D500" s="4"/>
      <c r="E500" s="4"/>
      <c r="F500" s="4"/>
    </row>
    <row r="501" spans="1:6" ht="15.75">
      <c r="A501" s="3"/>
      <c r="B501" s="4"/>
      <c r="C501" s="4"/>
      <c r="D501" s="4"/>
      <c r="E501" s="4"/>
      <c r="F501" s="4"/>
    </row>
    <row r="502" spans="1:6" ht="15.75">
      <c r="A502" s="3"/>
      <c r="B502" s="4"/>
      <c r="C502" s="4"/>
      <c r="D502" s="4"/>
      <c r="E502" s="4"/>
      <c r="F502" s="4"/>
    </row>
    <row r="503" spans="1:6" ht="15.75">
      <c r="A503" s="3"/>
      <c r="B503" s="4"/>
      <c r="C503" s="4"/>
      <c r="D503" s="4"/>
      <c r="E503" s="4"/>
      <c r="F503" s="4"/>
    </row>
    <row r="504" spans="1:6" ht="15.75">
      <c r="A504" s="3"/>
      <c r="B504" s="4"/>
      <c r="C504" s="4"/>
      <c r="D504" s="4"/>
      <c r="E504" s="4"/>
      <c r="F504" s="4"/>
    </row>
    <row r="505" spans="1:6" ht="15.75">
      <c r="A505" s="3"/>
      <c r="B505" s="4"/>
      <c r="C505" s="4"/>
      <c r="D505" s="4"/>
      <c r="E505" s="4"/>
      <c r="F505" s="4"/>
    </row>
    <row r="506" spans="1:6" ht="15.75">
      <c r="A506" s="3"/>
      <c r="B506" s="4"/>
      <c r="C506" s="4"/>
      <c r="D506" s="4"/>
      <c r="E506" s="4"/>
      <c r="F506" s="4"/>
    </row>
    <row r="507" spans="1:6" ht="15.75">
      <c r="A507" s="3"/>
      <c r="B507" s="4"/>
      <c r="C507" s="4"/>
      <c r="D507" s="4"/>
      <c r="E507" s="4"/>
      <c r="F507" s="4"/>
    </row>
    <row r="508" spans="1:6" ht="15.75">
      <c r="A508" s="3"/>
      <c r="B508" s="4"/>
      <c r="C508" s="4"/>
      <c r="D508" s="4"/>
      <c r="E508" s="4"/>
      <c r="F508" s="4"/>
    </row>
    <row r="509" spans="1:6" ht="15.75">
      <c r="A509" s="3"/>
      <c r="B509" s="4"/>
      <c r="C509" s="4"/>
      <c r="D509" s="4"/>
      <c r="E509" s="4"/>
      <c r="F509" s="4"/>
    </row>
    <row r="510" spans="1:6" ht="15.75">
      <c r="A510" s="3"/>
      <c r="B510" s="4"/>
      <c r="C510" s="4"/>
      <c r="D510" s="4"/>
      <c r="E510" s="4"/>
      <c r="F510" s="4"/>
    </row>
    <row r="511" spans="1:6" ht="15.75">
      <c r="A511" s="3"/>
      <c r="B511" s="4"/>
      <c r="C511" s="4"/>
      <c r="D511" s="4"/>
      <c r="E511" s="4"/>
      <c r="F511" s="4"/>
    </row>
    <row r="512" spans="1:6" ht="15.75">
      <c r="A512" s="3"/>
      <c r="B512" s="4"/>
      <c r="C512" s="4"/>
      <c r="D512" s="4"/>
      <c r="E512" s="4"/>
      <c r="F512" s="4"/>
    </row>
    <row r="513" spans="1:6" ht="15.75">
      <c r="A513" s="3"/>
      <c r="B513" s="4"/>
      <c r="C513" s="4"/>
      <c r="D513" s="4"/>
      <c r="E513" s="4"/>
      <c r="F513" s="4"/>
    </row>
    <row r="514" spans="1:6" ht="15.75">
      <c r="A514" s="3"/>
      <c r="B514" s="4"/>
      <c r="C514" s="4"/>
      <c r="D514" s="4"/>
      <c r="E514" s="4"/>
      <c r="F514" s="4"/>
    </row>
    <row r="515" spans="1:6" ht="15.75">
      <c r="A515" s="3"/>
      <c r="B515" s="4"/>
      <c r="C515" s="4"/>
      <c r="D515" s="4"/>
      <c r="E515" s="4"/>
      <c r="F515" s="4"/>
    </row>
    <row r="516" spans="1:6" ht="15.75">
      <c r="A516" s="3"/>
      <c r="B516" s="4"/>
      <c r="C516" s="4"/>
      <c r="D516" s="4"/>
      <c r="E516" s="4"/>
      <c r="F516" s="4"/>
    </row>
    <row r="517" spans="1:6" ht="15.75">
      <c r="A517" s="3"/>
      <c r="B517" s="4"/>
      <c r="C517" s="4"/>
      <c r="D517" s="4"/>
      <c r="E517" s="4"/>
      <c r="F517" s="4"/>
    </row>
    <row r="518" spans="1:6" ht="15.75">
      <c r="A518" s="3"/>
      <c r="B518" s="4"/>
      <c r="C518" s="4"/>
      <c r="D518" s="4"/>
      <c r="E518" s="4"/>
      <c r="F518" s="4"/>
    </row>
    <row r="519" spans="1:6" ht="15.75">
      <c r="A519" s="3"/>
      <c r="B519" s="4"/>
      <c r="C519" s="4"/>
      <c r="D519" s="4"/>
      <c r="E519" s="4"/>
      <c r="F519" s="4"/>
    </row>
    <row r="520" spans="1:6" ht="15.75">
      <c r="A520" s="3"/>
      <c r="B520" s="4"/>
      <c r="C520" s="4"/>
      <c r="D520" s="4"/>
      <c r="E520" s="4"/>
      <c r="F520" s="4"/>
    </row>
    <row r="521" spans="1:6" ht="15.75">
      <c r="A521" s="3"/>
      <c r="B521" s="4"/>
      <c r="C521" s="4"/>
      <c r="D521" s="4"/>
      <c r="E521" s="4"/>
      <c r="F521" s="4"/>
    </row>
    <row r="522" spans="1:6" ht="15.75">
      <c r="A522" s="3"/>
      <c r="B522" s="4"/>
      <c r="C522" s="4"/>
      <c r="D522" s="4"/>
      <c r="E522" s="4"/>
      <c r="F522" s="4"/>
    </row>
    <row r="523" spans="1:6" ht="15.75">
      <c r="A523" s="3"/>
      <c r="B523" s="4"/>
      <c r="C523" s="4"/>
      <c r="D523" s="4"/>
      <c r="E523" s="4"/>
      <c r="F523" s="4"/>
    </row>
    <row r="524" spans="1:6" ht="15.75">
      <c r="A524" s="3"/>
      <c r="B524" s="4"/>
      <c r="C524" s="4"/>
      <c r="D524" s="4"/>
      <c r="E524" s="4"/>
      <c r="F524" s="4"/>
    </row>
    <row r="525" spans="1:6" ht="15.75">
      <c r="A525" s="3"/>
      <c r="B525" s="4"/>
      <c r="C525" s="4"/>
      <c r="D525" s="4"/>
      <c r="E525" s="4"/>
      <c r="F525" s="4"/>
    </row>
    <row r="526" spans="1:6" ht="15.75">
      <c r="A526" s="3"/>
      <c r="B526" s="4"/>
      <c r="C526" s="4"/>
      <c r="D526" s="4"/>
      <c r="E526" s="4"/>
      <c r="F526" s="4"/>
    </row>
    <row r="527" spans="1:6" ht="15.75">
      <c r="A527" s="3"/>
      <c r="B527" s="4"/>
      <c r="C527" s="4"/>
      <c r="D527" s="4"/>
      <c r="E527" s="4"/>
      <c r="F527" s="4"/>
    </row>
    <row r="528" spans="1:6" ht="15.75">
      <c r="A528" s="3"/>
      <c r="B528" s="4"/>
      <c r="C528" s="4"/>
      <c r="D528" s="4"/>
      <c r="E528" s="4"/>
      <c r="F528" s="4"/>
    </row>
    <row r="529" spans="1:6" ht="15.75">
      <c r="A529" s="3"/>
      <c r="B529" s="4"/>
      <c r="C529" s="4"/>
      <c r="D529" s="4"/>
      <c r="E529" s="4"/>
      <c r="F529" s="4"/>
    </row>
    <row r="530" spans="1:6" ht="15.75">
      <c r="A530" s="3"/>
      <c r="B530" s="4"/>
      <c r="C530" s="4"/>
      <c r="D530" s="4"/>
      <c r="E530" s="4"/>
      <c r="F530" s="4"/>
    </row>
    <row r="531" spans="1:6" ht="15.75">
      <c r="A531" s="3"/>
      <c r="B531" s="4"/>
      <c r="C531" s="4"/>
      <c r="D531" s="4"/>
      <c r="E531" s="4"/>
      <c r="F531" s="4"/>
    </row>
    <row r="532" spans="1:6" ht="15.75">
      <c r="A532" s="3"/>
      <c r="B532" s="4"/>
      <c r="C532" s="4"/>
      <c r="D532" s="4"/>
      <c r="E532" s="4"/>
      <c r="F532" s="4"/>
    </row>
    <row r="533" spans="1:6" ht="15.75">
      <c r="A533" s="3"/>
      <c r="B533" s="4"/>
      <c r="C533" s="4"/>
      <c r="D533" s="4"/>
      <c r="E533" s="4"/>
      <c r="F533" s="4"/>
    </row>
    <row r="534" spans="1:6" ht="15.75">
      <c r="A534" s="3"/>
      <c r="B534" s="4"/>
      <c r="C534" s="4"/>
      <c r="D534" s="4"/>
      <c r="E534" s="4"/>
      <c r="F534" s="4"/>
    </row>
    <row r="535" spans="1:6" ht="15.75">
      <c r="A535" s="3"/>
      <c r="B535" s="4"/>
      <c r="C535" s="4"/>
      <c r="D535" s="4"/>
      <c r="E535" s="4"/>
      <c r="F535" s="4"/>
    </row>
    <row r="536" spans="1:6" ht="15.75">
      <c r="A536" s="3"/>
      <c r="B536" s="4"/>
      <c r="C536" s="4"/>
      <c r="D536" s="4"/>
      <c r="E536" s="4"/>
      <c r="F536" s="4"/>
    </row>
    <row r="537" spans="1:6" ht="15.75">
      <c r="A537" s="3"/>
      <c r="B537" s="4"/>
      <c r="C537" s="4"/>
      <c r="D537" s="4"/>
      <c r="E537" s="4"/>
      <c r="F537" s="4"/>
    </row>
    <row r="538" spans="1:6" ht="15.75">
      <c r="A538" s="3"/>
      <c r="B538" s="4"/>
      <c r="C538" s="4"/>
      <c r="D538" s="4"/>
      <c r="E538" s="4"/>
      <c r="F538" s="4"/>
    </row>
    <row r="539" spans="1:6" ht="15.75">
      <c r="A539" s="3"/>
      <c r="B539" s="4"/>
      <c r="C539" s="4"/>
      <c r="D539" s="4"/>
      <c r="E539" s="4"/>
      <c r="F539" s="4"/>
    </row>
    <row r="540" spans="1:6" ht="15.75">
      <c r="A540" s="3"/>
      <c r="B540" s="4"/>
      <c r="C540" s="4"/>
      <c r="D540" s="4"/>
      <c r="E540" s="4"/>
      <c r="F540" s="4"/>
    </row>
    <row r="541" spans="1:6" ht="15.75">
      <c r="A541" s="3"/>
      <c r="B541" s="4"/>
      <c r="C541" s="4"/>
      <c r="D541" s="4"/>
      <c r="E541" s="4"/>
      <c r="F541" s="4"/>
    </row>
    <row r="542" spans="1:6" ht="15.75">
      <c r="A542" s="3"/>
      <c r="B542" s="4"/>
      <c r="C542" s="4"/>
      <c r="D542" s="4"/>
      <c r="E542" s="4"/>
      <c r="F542" s="4"/>
    </row>
    <row r="543" spans="1:6" ht="15.75">
      <c r="A543" s="3"/>
      <c r="B543" s="4"/>
      <c r="C543" s="4"/>
      <c r="D543" s="4"/>
      <c r="E543" s="4"/>
      <c r="F543" s="4"/>
    </row>
    <row r="544" spans="1:6" ht="15.75">
      <c r="A544" s="3"/>
      <c r="B544" s="4"/>
      <c r="C544" s="4"/>
      <c r="D544" s="4"/>
      <c r="E544" s="4"/>
      <c r="F544" s="4"/>
    </row>
    <row r="545" spans="1:6" ht="15.75">
      <c r="A545" s="3"/>
      <c r="B545" s="4"/>
      <c r="C545" s="4"/>
      <c r="D545" s="4"/>
      <c r="E545" s="4"/>
      <c r="F545" s="4"/>
    </row>
    <row r="546" spans="1:6" ht="15.75">
      <c r="A546" s="3"/>
      <c r="B546" s="4"/>
      <c r="C546" s="4"/>
      <c r="D546" s="4"/>
      <c r="E546" s="4"/>
      <c r="F546" s="4"/>
    </row>
    <row r="547" spans="1:6" ht="15.75">
      <c r="A547" s="3"/>
      <c r="B547" s="4"/>
      <c r="C547" s="4"/>
      <c r="D547" s="4"/>
      <c r="E547" s="4"/>
      <c r="F547" s="4"/>
    </row>
    <row r="548" spans="1:6" ht="15.75">
      <c r="A548" s="3"/>
      <c r="B548" s="4"/>
      <c r="C548" s="4"/>
      <c r="D548" s="4"/>
      <c r="E548" s="4"/>
      <c r="F548" s="4"/>
    </row>
    <row r="549" spans="1:6" ht="15.75">
      <c r="A549" s="3"/>
      <c r="B549" s="4"/>
      <c r="C549" s="4"/>
      <c r="D549" s="4"/>
      <c r="E549" s="4"/>
      <c r="F549" s="4"/>
    </row>
    <row r="550" spans="1:6" ht="15.75">
      <c r="A550" s="3"/>
      <c r="B550" s="4"/>
      <c r="C550" s="4"/>
      <c r="D550" s="4"/>
      <c r="E550" s="4"/>
      <c r="F550" s="4"/>
    </row>
    <row r="551" spans="1:6" ht="15.75">
      <c r="A551" s="3"/>
      <c r="B551" s="3"/>
      <c r="C551" s="3"/>
      <c r="D551" s="3"/>
      <c r="E551" s="3"/>
      <c r="F551" s="3"/>
    </row>
    <row r="552" spans="1:6" ht="15.75">
      <c r="A552" s="3"/>
      <c r="B552" s="3"/>
      <c r="C552" s="3"/>
      <c r="D552" s="3"/>
      <c r="E552" s="3"/>
      <c r="F552" s="3"/>
    </row>
    <row r="553" spans="1:6" ht="15.75">
      <c r="A553" s="3"/>
      <c r="B553" s="3"/>
      <c r="C553" s="3"/>
      <c r="D553" s="3"/>
      <c r="E553" s="3"/>
      <c r="F553" s="3"/>
    </row>
    <row r="554" spans="1:6" ht="15.75">
      <c r="A554" s="3"/>
      <c r="B554" s="3"/>
      <c r="C554" s="3"/>
      <c r="D554" s="3"/>
      <c r="E554" s="3"/>
      <c r="F554" s="3"/>
    </row>
    <row r="555" spans="1:6" ht="15.75">
      <c r="A555" s="3"/>
      <c r="B555" s="3"/>
      <c r="C555" s="3"/>
      <c r="D555" s="3"/>
      <c r="E555" s="3"/>
      <c r="F555" s="3"/>
    </row>
    <row r="556" spans="1:6" ht="15.75">
      <c r="A556" s="3"/>
      <c r="B556" s="3"/>
      <c r="C556" s="3"/>
      <c r="D556" s="3"/>
      <c r="E556" s="3"/>
      <c r="F556" s="3"/>
    </row>
    <row r="557" spans="1:6" ht="15.75">
      <c r="A557" s="3"/>
      <c r="B557" s="3"/>
      <c r="C557" s="3"/>
      <c r="D557" s="3"/>
      <c r="E557" s="3"/>
      <c r="F557" s="3"/>
    </row>
    <row r="558" spans="1:6" ht="15.75">
      <c r="A558" s="3"/>
      <c r="B558" s="3"/>
      <c r="C558" s="3"/>
      <c r="D558" s="3"/>
      <c r="E558" s="3"/>
      <c r="F558" s="3"/>
    </row>
    <row r="559" spans="1:6" ht="15.75">
      <c r="A559" s="3"/>
      <c r="B559" s="3"/>
      <c r="C559" s="3"/>
      <c r="D559" s="3"/>
      <c r="E559" s="3"/>
      <c r="F559" s="3"/>
    </row>
    <row r="560" spans="1:6" ht="15.75">
      <c r="A560" s="3"/>
      <c r="B560" s="3"/>
      <c r="C560" s="3"/>
      <c r="D560" s="3"/>
      <c r="E560" s="3"/>
      <c r="F560" s="3"/>
    </row>
    <row r="561" spans="1:6" ht="15.75">
      <c r="A561" s="3"/>
      <c r="B561" s="3"/>
      <c r="C561" s="3"/>
      <c r="D561" s="3"/>
      <c r="E561" s="3"/>
      <c r="F561" s="3"/>
    </row>
    <row r="562" spans="1:6" ht="15.75">
      <c r="A562" s="3"/>
      <c r="B562" s="3"/>
      <c r="C562" s="3"/>
      <c r="D562" s="3"/>
      <c r="E562" s="3"/>
      <c r="F562" s="3"/>
    </row>
    <row r="563" spans="1:6" ht="15.75">
      <c r="A563" s="3"/>
      <c r="B563" s="3"/>
      <c r="C563" s="3"/>
      <c r="D563" s="3"/>
      <c r="E563" s="3"/>
      <c r="F563" s="3"/>
    </row>
    <row r="564" spans="1:6" ht="15.75">
      <c r="A564" s="3"/>
      <c r="B564" s="3"/>
      <c r="C564" s="3"/>
      <c r="D564" s="3"/>
      <c r="E564" s="3"/>
      <c r="F564" s="3"/>
    </row>
    <row r="565" spans="1:6" ht="15.75">
      <c r="A565" s="3"/>
      <c r="B565" s="3"/>
      <c r="C565" s="3"/>
      <c r="D565" s="3"/>
      <c r="E565" s="3"/>
      <c r="F565" s="3"/>
    </row>
    <row r="566" spans="1:6" ht="15.75">
      <c r="A566" s="3"/>
      <c r="B566" s="3"/>
      <c r="C566" s="3"/>
      <c r="D566" s="3"/>
      <c r="E566" s="3"/>
      <c r="F566" s="3"/>
    </row>
    <row r="567" spans="1:6" ht="15.75">
      <c r="A567" s="3"/>
      <c r="B567" s="3"/>
      <c r="C567" s="3"/>
      <c r="D567" s="3"/>
      <c r="E567" s="3"/>
      <c r="F567" s="3"/>
    </row>
    <row r="568" spans="1:6" ht="15.75">
      <c r="A568" s="3"/>
      <c r="B568" s="3"/>
      <c r="C568" s="3"/>
      <c r="D568" s="3"/>
      <c r="E568" s="3"/>
      <c r="F568" s="3"/>
    </row>
    <row r="569" spans="1:6" ht="15.75">
      <c r="A569" s="3"/>
      <c r="B569" s="3"/>
      <c r="C569" s="3"/>
      <c r="D569" s="3"/>
      <c r="E569" s="3"/>
      <c r="F569" s="3"/>
    </row>
    <row r="570" spans="1:6" ht="15.75">
      <c r="A570" s="3"/>
      <c r="B570" s="3"/>
      <c r="C570" s="3"/>
      <c r="D570" s="3"/>
      <c r="E570" s="3"/>
      <c r="F570" s="3"/>
    </row>
  </sheetData>
  <sheetProtection password="CF7A" sheet="1" objects="1" scenarios="1"/>
  <mergeCells count="17">
    <mergeCell ref="D24:D27"/>
    <mergeCell ref="I25:I27"/>
    <mergeCell ref="L26:M26"/>
    <mergeCell ref="E24:E27"/>
    <mergeCell ref="G25:G27"/>
    <mergeCell ref="G24:H24"/>
    <mergeCell ref="F24:F27"/>
    <mergeCell ref="C24:C27"/>
    <mergeCell ref="N26:O26"/>
    <mergeCell ref="Q26:S26"/>
    <mergeCell ref="F18:H18"/>
    <mergeCell ref="A20:H20"/>
    <mergeCell ref="A19:H19"/>
    <mergeCell ref="A22:H22"/>
    <mergeCell ref="B24:B27"/>
    <mergeCell ref="A24:A27"/>
    <mergeCell ref="H25:H27"/>
  </mergeCells>
  <printOptions/>
  <pageMargins left="1.1811023622047245" right="0.3937007874015748" top="0.7874015748031497" bottom="0.7874015748031497" header="0.15748031496062992" footer="0.5118110236220472"/>
  <pageSetup horizontalDpi="600" verticalDpi="600" orientation="portrait" paperSize="9" scale="92" r:id="rId1"/>
  <headerFooter alignWithMargins="0">
    <oddFooter>&amp;R&amp;P</oddFooter>
  </headerFooter>
  <rowBreaks count="21" manualBreakCount="21">
    <brk id="1" max="7" man="1"/>
    <brk id="2" max="7" man="1"/>
    <brk id="3" max="7" man="1"/>
    <brk id="4" max="7" man="1"/>
    <brk id="6" max="7" man="1"/>
    <brk id="7" max="7" man="1"/>
    <brk id="8" max="7" man="1"/>
    <brk id="9" max="7" man="1"/>
    <brk id="10" max="7" man="1"/>
    <brk id="11" max="7" man="1"/>
    <brk id="12" max="7" man="1"/>
    <brk id="13" max="7" man="1"/>
    <brk id="14" max="7" man="1"/>
    <brk id="15" max="7" man="1"/>
    <brk id="16" max="7" man="1"/>
    <brk id="17" max="7" man="1"/>
    <brk id="159" max="7" man="1"/>
    <brk id="214" max="7" man="1"/>
    <brk id="245" max="7" man="1"/>
    <brk id="303" max="7" man="1"/>
    <brk id="325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G36"/>
  <sheetViews>
    <sheetView workbookViewId="0" topLeftCell="A1">
      <selection activeCell="G36" sqref="G36"/>
    </sheetView>
  </sheetViews>
  <sheetFormatPr defaultColWidth="9.00390625" defaultRowHeight="12.75"/>
  <cols>
    <col min="1" max="1" width="4.25390625" style="1" customWidth="1"/>
    <col min="2" max="2" width="39.75390625" style="1" customWidth="1"/>
    <col min="3" max="3" width="6.875" style="1" customWidth="1"/>
    <col min="4" max="4" width="10.00390625" style="1" customWidth="1"/>
    <col min="5" max="5" width="8.25390625" style="1" customWidth="1"/>
    <col min="6" max="6" width="7.75390625" style="1" customWidth="1"/>
    <col min="7" max="7" width="10.00390625" style="1" customWidth="1"/>
    <col min="8" max="16384" width="9.125" style="1" customWidth="1"/>
  </cols>
  <sheetData>
    <row r="2" spans="1:7" ht="15.75">
      <c r="A2" s="117" t="s">
        <v>253</v>
      </c>
      <c r="B2" s="117"/>
      <c r="C2" s="117"/>
      <c r="D2" s="117"/>
      <c r="E2" s="117"/>
      <c r="F2" s="117"/>
      <c r="G2" s="117"/>
    </row>
    <row r="4" spans="1:7" ht="15.75">
      <c r="A4" s="116" t="s">
        <v>15</v>
      </c>
      <c r="B4" s="116"/>
      <c r="C4" s="116" t="s">
        <v>125</v>
      </c>
      <c r="D4" s="116"/>
      <c r="E4" s="116"/>
      <c r="F4" s="116"/>
      <c r="G4" s="116"/>
    </row>
    <row r="5" spans="1:7" ht="47.25">
      <c r="A5" s="116"/>
      <c r="B5" s="116"/>
      <c r="C5" s="74" t="s">
        <v>123</v>
      </c>
      <c r="D5" s="40" t="s">
        <v>262</v>
      </c>
      <c r="E5" s="74" t="s">
        <v>80</v>
      </c>
      <c r="F5" s="74" t="s">
        <v>124</v>
      </c>
      <c r="G5" s="40" t="s">
        <v>266</v>
      </c>
    </row>
    <row r="6" spans="1:7" ht="15.75">
      <c r="A6" s="74"/>
      <c r="B6" s="74"/>
      <c r="C6" s="74"/>
      <c r="D6" s="74"/>
      <c r="E6" s="74"/>
      <c r="F6" s="74"/>
      <c r="G6" s="74"/>
    </row>
    <row r="7" spans="1:7" ht="15.75">
      <c r="A7" s="75"/>
      <c r="B7" s="74" t="s">
        <v>239</v>
      </c>
      <c r="C7" s="75"/>
      <c r="D7" s="75"/>
      <c r="E7" s="75"/>
      <c r="F7" s="75"/>
      <c r="G7" s="76">
        <f>G8+G9+G10+G11+G12</f>
        <v>3490</v>
      </c>
    </row>
    <row r="8" spans="1:7" ht="47.25">
      <c r="A8" s="74">
        <v>1</v>
      </c>
      <c r="B8" s="77" t="s">
        <v>263</v>
      </c>
      <c r="C8" s="78" t="s">
        <v>98</v>
      </c>
      <c r="D8" s="78" t="s">
        <v>264</v>
      </c>
      <c r="E8" s="78" t="s">
        <v>127</v>
      </c>
      <c r="F8" s="78" t="s">
        <v>87</v>
      </c>
      <c r="G8" s="78" t="s">
        <v>265</v>
      </c>
    </row>
    <row r="9" spans="1:7" ht="47.25">
      <c r="A9" s="74">
        <v>2</v>
      </c>
      <c r="B9" s="71" t="s">
        <v>279</v>
      </c>
      <c r="C9" s="78" t="s">
        <v>98</v>
      </c>
      <c r="D9" s="78" t="s">
        <v>282</v>
      </c>
      <c r="E9" s="78" t="s">
        <v>127</v>
      </c>
      <c r="F9" s="78" t="s">
        <v>110</v>
      </c>
      <c r="G9" s="78" t="s">
        <v>283</v>
      </c>
    </row>
    <row r="10" spans="1:7" ht="94.5">
      <c r="A10" s="74">
        <v>3</v>
      </c>
      <c r="B10" s="71" t="s">
        <v>280</v>
      </c>
      <c r="C10" s="78" t="s">
        <v>98</v>
      </c>
      <c r="D10" s="78" t="s">
        <v>284</v>
      </c>
      <c r="E10" s="78" t="s">
        <v>127</v>
      </c>
      <c r="F10" s="78" t="s">
        <v>110</v>
      </c>
      <c r="G10" s="78" t="s">
        <v>285</v>
      </c>
    </row>
    <row r="11" spans="1:7" ht="78.75" customHeight="1">
      <c r="A11" s="120">
        <v>4</v>
      </c>
      <c r="B11" s="118" t="s">
        <v>281</v>
      </c>
      <c r="C11" s="78" t="s">
        <v>98</v>
      </c>
      <c r="D11" s="78" t="s">
        <v>284</v>
      </c>
      <c r="E11" s="78" t="s">
        <v>127</v>
      </c>
      <c r="F11" s="78" t="s">
        <v>110</v>
      </c>
      <c r="G11" s="78" t="s">
        <v>286</v>
      </c>
    </row>
    <row r="12" spans="1:7" ht="15.75" customHeight="1">
      <c r="A12" s="121"/>
      <c r="B12" s="119"/>
      <c r="C12" s="78" t="s">
        <v>98</v>
      </c>
      <c r="D12" s="78" t="s">
        <v>282</v>
      </c>
      <c r="E12" s="78" t="s">
        <v>127</v>
      </c>
      <c r="F12" s="78" t="s">
        <v>110</v>
      </c>
      <c r="G12" s="78" t="s">
        <v>287</v>
      </c>
    </row>
    <row r="13" spans="1:7" ht="15.75" customHeight="1">
      <c r="A13" s="74"/>
      <c r="B13" s="73"/>
      <c r="C13" s="78"/>
      <c r="D13" s="78"/>
      <c r="E13" s="78"/>
      <c r="F13" s="78"/>
      <c r="G13" s="78"/>
    </row>
    <row r="14" spans="1:7" ht="12.75" customHeight="1">
      <c r="A14" s="75"/>
      <c r="B14" s="40" t="s">
        <v>240</v>
      </c>
      <c r="C14" s="78"/>
      <c r="D14" s="78"/>
      <c r="E14" s="78"/>
      <c r="F14" s="78"/>
      <c r="G14" s="79">
        <f>G15+G16</f>
        <v>10200</v>
      </c>
    </row>
    <row r="15" spans="1:7" ht="47.25">
      <c r="A15" s="74">
        <v>5</v>
      </c>
      <c r="B15" s="70" t="s">
        <v>275</v>
      </c>
      <c r="C15" s="78" t="s">
        <v>84</v>
      </c>
      <c r="D15" s="78" t="s">
        <v>276</v>
      </c>
      <c r="E15" s="78" t="s">
        <v>127</v>
      </c>
      <c r="F15" s="78" t="s">
        <v>110</v>
      </c>
      <c r="G15" s="78" t="s">
        <v>278</v>
      </c>
    </row>
    <row r="16" spans="1:7" ht="47.25">
      <c r="A16" s="74">
        <v>6</v>
      </c>
      <c r="B16" s="72" t="s">
        <v>236</v>
      </c>
      <c r="C16" s="78" t="s">
        <v>84</v>
      </c>
      <c r="D16" s="78" t="s">
        <v>276</v>
      </c>
      <c r="E16" s="78" t="s">
        <v>127</v>
      </c>
      <c r="F16" s="78" t="s">
        <v>110</v>
      </c>
      <c r="G16" s="78" t="s">
        <v>277</v>
      </c>
    </row>
    <row r="17" spans="1:7" ht="15.75">
      <c r="A17" s="74"/>
      <c r="B17" s="77"/>
      <c r="C17" s="78"/>
      <c r="D17" s="78"/>
      <c r="E17" s="78"/>
      <c r="F17" s="78"/>
      <c r="G17" s="78"/>
    </row>
    <row r="18" spans="1:7" ht="15.75">
      <c r="A18" s="74"/>
      <c r="B18" s="80" t="s">
        <v>241</v>
      </c>
      <c r="C18" s="78"/>
      <c r="D18" s="78"/>
      <c r="E18" s="78"/>
      <c r="F18" s="78"/>
      <c r="G18" s="79">
        <f>G19+G20</f>
        <v>540</v>
      </c>
    </row>
    <row r="19" spans="1:7" ht="47.25">
      <c r="A19" s="74">
        <v>7</v>
      </c>
      <c r="B19" s="77" t="s">
        <v>237</v>
      </c>
      <c r="C19" s="78" t="s">
        <v>89</v>
      </c>
      <c r="D19" s="78" t="s">
        <v>289</v>
      </c>
      <c r="E19" s="78" t="s">
        <v>127</v>
      </c>
      <c r="F19" s="78" t="s">
        <v>110</v>
      </c>
      <c r="G19" s="78" t="s">
        <v>290</v>
      </c>
    </row>
    <row r="20" spans="1:7" ht="63">
      <c r="A20" s="74">
        <v>8</v>
      </c>
      <c r="B20" s="77" t="s">
        <v>238</v>
      </c>
      <c r="C20" s="78" t="s">
        <v>89</v>
      </c>
      <c r="D20" s="78" t="s">
        <v>282</v>
      </c>
      <c r="E20" s="78" t="s">
        <v>127</v>
      </c>
      <c r="F20" s="78" t="s">
        <v>110</v>
      </c>
      <c r="G20" s="78" t="s">
        <v>288</v>
      </c>
    </row>
    <row r="21" spans="1:7" ht="15.75">
      <c r="A21" s="74"/>
      <c r="B21" s="77"/>
      <c r="C21" s="78"/>
      <c r="D21" s="78"/>
      <c r="E21" s="78"/>
      <c r="F21" s="78"/>
      <c r="G21" s="78"/>
    </row>
    <row r="22" spans="1:7" ht="31.5">
      <c r="A22" s="74"/>
      <c r="B22" s="77" t="s">
        <v>243</v>
      </c>
      <c r="C22" s="78"/>
      <c r="D22" s="78"/>
      <c r="E22" s="78"/>
      <c r="F22" s="78"/>
      <c r="G22" s="78"/>
    </row>
    <row r="23" spans="1:7" ht="31.5">
      <c r="A23" s="74">
        <v>10</v>
      </c>
      <c r="B23" s="77" t="s">
        <v>242</v>
      </c>
      <c r="C23" s="78" t="s">
        <v>109</v>
      </c>
      <c r="D23" s="78" t="s">
        <v>252</v>
      </c>
      <c r="E23" s="78" t="s">
        <v>127</v>
      </c>
      <c r="F23" s="78" t="s">
        <v>135</v>
      </c>
      <c r="G23" s="78" t="s">
        <v>257</v>
      </c>
    </row>
    <row r="24" spans="1:7" ht="15.75">
      <c r="A24" s="74"/>
      <c r="B24" s="77"/>
      <c r="C24" s="78"/>
      <c r="D24" s="78"/>
      <c r="E24" s="78"/>
      <c r="F24" s="78"/>
      <c r="G24" s="78"/>
    </row>
    <row r="25" spans="1:7" ht="15.75">
      <c r="A25" s="74"/>
      <c r="B25" s="80" t="s">
        <v>245</v>
      </c>
      <c r="C25" s="78"/>
      <c r="D25" s="78"/>
      <c r="E25" s="78"/>
      <c r="F25" s="78"/>
      <c r="G25" s="78"/>
    </row>
    <row r="26" spans="1:7" ht="15.75">
      <c r="A26" s="74">
        <v>13</v>
      </c>
      <c r="B26" s="77" t="s">
        <v>244</v>
      </c>
      <c r="C26" s="78" t="s">
        <v>102</v>
      </c>
      <c r="D26" s="78" t="s">
        <v>291</v>
      </c>
      <c r="E26" s="78" t="s">
        <v>29</v>
      </c>
      <c r="F26" s="78" t="s">
        <v>107</v>
      </c>
      <c r="G26" s="78" t="s">
        <v>292</v>
      </c>
    </row>
    <row r="27" spans="1:7" ht="15.75">
      <c r="A27" s="74"/>
      <c r="B27" s="77"/>
      <c r="C27" s="78"/>
      <c r="D27" s="78"/>
      <c r="E27" s="78"/>
      <c r="F27" s="78"/>
      <c r="G27" s="78"/>
    </row>
    <row r="28" spans="1:7" ht="15.75">
      <c r="A28" s="74"/>
      <c r="B28" s="80" t="s">
        <v>247</v>
      </c>
      <c r="C28" s="78"/>
      <c r="D28" s="78"/>
      <c r="E28" s="78"/>
      <c r="F28" s="78"/>
      <c r="G28" s="78"/>
    </row>
    <row r="29" spans="1:7" ht="63">
      <c r="A29" s="74">
        <v>16</v>
      </c>
      <c r="B29" s="77" t="s">
        <v>246</v>
      </c>
      <c r="C29" s="78" t="s">
        <v>200</v>
      </c>
      <c r="D29" s="78"/>
      <c r="E29" s="78"/>
      <c r="F29" s="78"/>
      <c r="G29" s="78"/>
    </row>
    <row r="30" spans="1:7" ht="15.75">
      <c r="A30" s="74"/>
      <c r="B30" s="77"/>
      <c r="C30" s="78"/>
      <c r="D30" s="78"/>
      <c r="E30" s="78"/>
      <c r="F30" s="78"/>
      <c r="G30" s="78"/>
    </row>
    <row r="31" spans="1:7" ht="15.75">
      <c r="A31" s="74"/>
      <c r="B31" s="77"/>
      <c r="C31" s="78"/>
      <c r="D31" s="78"/>
      <c r="E31" s="78"/>
      <c r="F31" s="78"/>
      <c r="G31" s="78"/>
    </row>
    <row r="32" spans="1:7" ht="15.75">
      <c r="A32" s="74"/>
      <c r="B32" s="80" t="s">
        <v>249</v>
      </c>
      <c r="C32" s="78"/>
      <c r="D32" s="78"/>
      <c r="E32" s="78"/>
      <c r="F32" s="78"/>
      <c r="G32" s="78"/>
    </row>
    <row r="33" spans="1:7" ht="78.75">
      <c r="A33" s="40">
        <v>14</v>
      </c>
      <c r="B33" s="77" t="s">
        <v>248</v>
      </c>
      <c r="C33" s="78" t="s">
        <v>113</v>
      </c>
      <c r="D33" s="78" t="s">
        <v>255</v>
      </c>
      <c r="E33" s="78" t="s">
        <v>256</v>
      </c>
      <c r="F33" s="78" t="s">
        <v>137</v>
      </c>
      <c r="G33" s="81">
        <f>5357+400</f>
        <v>5757</v>
      </c>
    </row>
    <row r="34" spans="1:7" ht="15.75">
      <c r="A34" s="82"/>
      <c r="B34" s="77"/>
      <c r="C34" s="78"/>
      <c r="D34" s="78"/>
      <c r="E34" s="78"/>
      <c r="F34" s="78"/>
      <c r="G34" s="78"/>
    </row>
    <row r="35" spans="1:7" ht="15.75">
      <c r="A35" s="82"/>
      <c r="B35" s="80" t="s">
        <v>251</v>
      </c>
      <c r="C35" s="78"/>
      <c r="D35" s="78"/>
      <c r="E35" s="78"/>
      <c r="F35" s="78"/>
      <c r="G35" s="78"/>
    </row>
    <row r="36" spans="1:7" ht="78.75">
      <c r="A36" s="74">
        <v>15</v>
      </c>
      <c r="B36" s="77" t="s">
        <v>250</v>
      </c>
      <c r="C36" s="78" t="s">
        <v>18</v>
      </c>
      <c r="D36" s="78" t="s">
        <v>106</v>
      </c>
      <c r="E36" s="78" t="s">
        <v>127</v>
      </c>
      <c r="F36" s="78" t="s">
        <v>137</v>
      </c>
      <c r="G36" s="78" t="s">
        <v>254</v>
      </c>
    </row>
  </sheetData>
  <mergeCells count="5">
    <mergeCell ref="C4:G4"/>
    <mergeCell ref="A4:B5"/>
    <mergeCell ref="A2:G2"/>
    <mergeCell ref="B11:B12"/>
    <mergeCell ref="A11:A1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FINDEP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Пунягов</dc:creator>
  <cp:keywords/>
  <dc:description/>
  <cp:lastModifiedBy>marchenko</cp:lastModifiedBy>
  <cp:lastPrinted>2005-05-27T10:16:12Z</cp:lastPrinted>
  <dcterms:created xsi:type="dcterms:W3CDTF">2004-09-08T09:13:27Z</dcterms:created>
  <dcterms:modified xsi:type="dcterms:W3CDTF">2005-06-06T10:48:46Z</dcterms:modified>
  <cp:category/>
  <cp:version/>
  <cp:contentType/>
  <cp:contentStatus/>
</cp:coreProperties>
</file>